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C:\Users\Ab Feith\Desktop\W.K. 2026\"/>
    </mc:Choice>
  </mc:AlternateContent>
  <xr:revisionPtr revIDLastSave="0" documentId="13_ncr:1_{43F81182-0EB4-445B-8D13-2D9D43B0AE3F}" xr6:coauthVersionLast="36" xr6:coauthVersionMax="36" xr10:uidLastSave="{00000000-0000-0000-0000-000000000000}"/>
  <bookViews>
    <workbookView xWindow="0" yWindow="0" windowWidth="28800" windowHeight="11205" tabRatio="637" xr2:uid="{00000000-000D-0000-FFFF-FFFF00000000}"/>
  </bookViews>
  <sheets>
    <sheet name="Informatieblad" sheetId="75" r:id="rId1"/>
    <sheet name="NKC - WKpool 2026" sheetId="74" r:id="rId2"/>
    <sheet name="World Cup" sheetId="33" state="hidden" r:id="rId3"/>
    <sheet name="DailySchedule" sheetId="48" state="hidden" r:id="rId4"/>
    <sheet name="FairPlay" sheetId="3" state="hidden" r:id="rId5"/>
    <sheet name="HeadToHeadComp" sheetId="73" state="hidden" r:id="rId6"/>
    <sheet name="Predictions_1" sheetId="28" state="hidden" r:id="rId7"/>
    <sheet name="Predictions_Ranking_1" sheetId="29" state="hidden" r:id="rId8"/>
    <sheet name="Predictions_2" sheetId="47" state="hidden" r:id="rId9"/>
    <sheet name="Predictions_Ranking_2" sheetId="32" state="hidden" r:id="rId10"/>
    <sheet name="PrSettings" sheetId="30" state="hidden" r:id="rId11"/>
    <sheet name="Language" sheetId="18" state="hidden" r:id="rId12"/>
    <sheet name="TimeZone" sheetId="19" state="hidden" r:id="rId13"/>
    <sheet name="Help" sheetId="17" state="hidden" r:id="rId14"/>
    <sheet name="Groups" sheetId="26" state="hidden" r:id="rId15"/>
    <sheet name="Matches" sheetId="22" state="hidden" r:id="rId16"/>
    <sheet name="AssignThird" sheetId="44" state="hidden" r:id="rId17"/>
    <sheet name="ThirdPlaced" sheetId="45" state="hidden" r:id="rId18"/>
    <sheet name="Distinctness" sheetId="16" state="hidden" r:id="rId19"/>
    <sheet name="CalcA" sheetId="61" state="hidden" r:id="rId20"/>
    <sheet name="CalcB" sheetId="62" state="hidden" r:id="rId21"/>
    <sheet name="CalcC" sheetId="63" state="hidden" r:id="rId22"/>
    <sheet name="CalcD" sheetId="70" state="hidden" r:id="rId23"/>
    <sheet name="CalcE" sheetId="72" state="hidden" r:id="rId24"/>
    <sheet name="CalcF" sheetId="71" state="hidden" r:id="rId25"/>
    <sheet name="CalcG" sheetId="64" state="hidden" r:id="rId26"/>
    <sheet name="CalcH" sheetId="65" state="hidden" r:id="rId27"/>
    <sheet name="CalcI" sheetId="69" state="hidden" r:id="rId28"/>
    <sheet name="CalcJ" sheetId="66" state="hidden" r:id="rId29"/>
    <sheet name="CalcK" sheetId="68" state="hidden" r:id="rId30"/>
    <sheet name="CalcL" sheetId="67" state="hidden" r:id="rId31"/>
  </sheets>
  <definedNames>
    <definedName name="_xlnm._FilterDatabase" localSheetId="1" hidden="1">'NKC - WKpool 2026'!#REF!</definedName>
    <definedName name="_xlnm.Print_Area" localSheetId="16">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74" l="1"/>
  <c r="E1" i="74"/>
  <c r="R3" i="74" l="1"/>
  <c r="P3" i="74"/>
  <c r="N99" i="33" l="1"/>
  <c r="L99" i="33"/>
  <c r="N89" i="33"/>
  <c r="L89" i="33"/>
  <c r="T81" i="33"/>
  <c r="R81" i="33"/>
  <c r="H81" i="33"/>
  <c r="F81" i="33"/>
  <c r="W71" i="33"/>
  <c r="U71" i="33"/>
  <c r="Q71" i="33"/>
  <c r="O71" i="33"/>
  <c r="K71" i="33"/>
  <c r="I71" i="33"/>
  <c r="E71" i="33"/>
  <c r="C71" i="33"/>
  <c r="X61" i="33"/>
  <c r="W61" i="33"/>
  <c r="U61" i="33"/>
  <c r="T61" i="33"/>
  <c r="R61" i="33"/>
  <c r="Q61" i="33"/>
  <c r="O61" i="33"/>
  <c r="N61" i="33"/>
  <c r="L61" i="33"/>
  <c r="K61" i="33"/>
  <c r="I61" i="33"/>
  <c r="H61" i="33"/>
  <c r="F61" i="33"/>
  <c r="E61" i="33"/>
  <c r="C61" i="33"/>
  <c r="B61" i="33"/>
  <c r="AV51" i="33"/>
  <c r="AU51" i="33"/>
  <c r="AS51" i="33"/>
  <c r="AR51" i="33"/>
  <c r="AP51" i="33"/>
  <c r="AO51" i="33"/>
  <c r="AM51" i="33"/>
  <c r="AL51" i="33"/>
  <c r="AJ51" i="33"/>
  <c r="AI51" i="33"/>
  <c r="AG51" i="33"/>
  <c r="AF51" i="33"/>
  <c r="AD51" i="33"/>
  <c r="AC51" i="33"/>
  <c r="AA51" i="33"/>
  <c r="Z51" i="33"/>
  <c r="X51" i="33"/>
  <c r="W51" i="33"/>
  <c r="U51" i="33"/>
  <c r="T51" i="33"/>
  <c r="R51" i="33"/>
  <c r="Q51" i="33"/>
  <c r="O51" i="33"/>
  <c r="N51" i="33"/>
  <c r="L51" i="33"/>
  <c r="K51" i="33"/>
  <c r="I51" i="33"/>
  <c r="H51" i="33"/>
  <c r="C51" i="33"/>
  <c r="B51" i="33"/>
  <c r="AL31" i="33"/>
  <c r="AJ39" i="33" l="1"/>
  <c r="AI39" i="33"/>
  <c r="AJ34" i="33"/>
  <c r="AI34" i="33"/>
  <c r="AJ29" i="33"/>
  <c r="AI29" i="33"/>
  <c r="AJ24" i="33"/>
  <c r="AI24" i="33"/>
  <c r="AJ19" i="33"/>
  <c r="AI19" i="33"/>
  <c r="AJ14" i="33"/>
  <c r="AI14" i="33"/>
  <c r="AF29" i="33"/>
  <c r="AG39" i="33"/>
  <c r="AF39" i="33"/>
  <c r="AG34" i="33"/>
  <c r="AF34" i="33"/>
  <c r="AG29" i="33"/>
  <c r="AG24" i="33"/>
  <c r="AF24" i="33"/>
  <c r="AG19" i="33"/>
  <c r="AF19" i="33"/>
  <c r="AG14" i="33"/>
  <c r="AF14" i="33"/>
  <c r="AD34" i="33"/>
  <c r="AC34" i="33"/>
  <c r="AD39" i="33"/>
  <c r="AC39" i="33"/>
  <c r="AD29" i="33"/>
  <c r="AC29" i="33"/>
  <c r="AD24" i="33"/>
  <c r="AC24" i="33"/>
  <c r="AD19" i="33"/>
  <c r="AC19" i="33"/>
  <c r="AD14" i="33"/>
  <c r="AC14" i="33"/>
  <c r="AA39" i="33"/>
  <c r="Z39" i="33"/>
  <c r="AA34" i="33"/>
  <c r="Z34" i="33"/>
  <c r="AA29" i="33"/>
  <c r="Z29" i="33"/>
  <c r="AA24" i="33"/>
  <c r="Z24" i="33"/>
  <c r="AA19" i="33"/>
  <c r="Z19" i="33"/>
  <c r="AA14" i="33"/>
  <c r="Z14" i="33"/>
  <c r="X39" i="33"/>
  <c r="W39" i="33"/>
  <c r="X34" i="33"/>
  <c r="W34" i="33"/>
  <c r="X29" i="33"/>
  <c r="W29" i="33"/>
  <c r="X24" i="33"/>
  <c r="W24" i="33"/>
  <c r="X19" i="33"/>
  <c r="W19" i="33"/>
  <c r="X14" i="33"/>
  <c r="W14" i="33"/>
  <c r="T34" i="33"/>
  <c r="U39" i="33"/>
  <c r="T39" i="33"/>
  <c r="U29" i="33"/>
  <c r="T29" i="33"/>
  <c r="U24" i="33"/>
  <c r="T24" i="33"/>
  <c r="U19" i="33"/>
  <c r="T19" i="33"/>
  <c r="U14" i="33"/>
  <c r="T14" i="33"/>
  <c r="R34" i="33" l="1"/>
  <c r="Q34" i="33"/>
  <c r="R39" i="33"/>
  <c r="Q39" i="33"/>
  <c r="R29" i="33"/>
  <c r="Q29" i="33"/>
  <c r="R24" i="33"/>
  <c r="Q24" i="33"/>
  <c r="R19" i="33"/>
  <c r="Q19" i="33"/>
  <c r="R14" i="33"/>
  <c r="Q14" i="33"/>
  <c r="N39" i="33"/>
  <c r="O39" i="33"/>
  <c r="O34" i="33"/>
  <c r="N34" i="33"/>
  <c r="O29" i="33"/>
  <c r="N29" i="33"/>
  <c r="O24" i="33"/>
  <c r="N24" i="33"/>
  <c r="O19" i="33"/>
  <c r="N19" i="33"/>
  <c r="O14" i="33"/>
  <c r="N14" i="33"/>
  <c r="L39" i="33"/>
  <c r="K39" i="33"/>
  <c r="L34" i="33"/>
  <c r="K34" i="33"/>
  <c r="L29" i="33"/>
  <c r="K29" i="33"/>
  <c r="L24" i="33"/>
  <c r="K24" i="33"/>
  <c r="L19" i="33"/>
  <c r="K19" i="33"/>
  <c r="L14" i="33"/>
  <c r="K14" i="33"/>
  <c r="I34" i="33"/>
  <c r="H34" i="33"/>
  <c r="I24" i="33"/>
  <c r="H24" i="33"/>
  <c r="I39" i="33"/>
  <c r="H39" i="33"/>
  <c r="I29" i="33"/>
  <c r="H29" i="33"/>
  <c r="I19" i="33"/>
  <c r="H19" i="33"/>
  <c r="I14" i="33"/>
  <c r="H14" i="33"/>
  <c r="F39" i="33"/>
  <c r="E39" i="33"/>
  <c r="F34" i="33"/>
  <c r="E34" i="33"/>
  <c r="F24" i="33"/>
  <c r="E24" i="33"/>
  <c r="F29" i="33"/>
  <c r="E29" i="33"/>
  <c r="F19" i="33"/>
  <c r="E19" i="33"/>
  <c r="F14" i="33"/>
  <c r="E14" i="33"/>
  <c r="C39" i="33"/>
  <c r="B39" i="33"/>
  <c r="C34" i="33"/>
  <c r="B34" i="33"/>
  <c r="C24" i="33"/>
  <c r="B24" i="33"/>
  <c r="C29" i="33"/>
  <c r="B29" i="33"/>
  <c r="C19" i="33"/>
  <c r="B19" i="33"/>
  <c r="C14" i="33"/>
  <c r="B14" i="33"/>
  <c r="C3" i="18" l="1"/>
  <c r="E40" i="18"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6" i="62"/>
  <c r="R27" i="62"/>
  <c r="F18" i="47" s="1"/>
  <c r="S23" i="62"/>
  <c r="G14"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G53" i="73"/>
  <c r="E139" i="18"/>
  <c r="AK3" i="73" s="1"/>
  <c r="E138" i="18"/>
  <c r="Z3" i="73" s="1"/>
  <c r="E137" i="18"/>
  <c r="O3" i="73" s="1"/>
  <c r="E140" i="18"/>
  <c r="D3" i="73" s="1"/>
  <c r="P5" i="73"/>
  <c r="E122" i="18"/>
  <c r="D1" i="73" s="1"/>
  <c r="E174" i="18"/>
  <c r="C11" i="3" s="1"/>
  <c r="E130" i="18"/>
  <c r="B54" i="47" s="1"/>
  <c r="B33" i="47"/>
  <c r="BV33" i="47" s="1"/>
  <c r="S27" i="61"/>
  <c r="R27" i="61"/>
  <c r="F11" i="47" s="1"/>
  <c r="S26" i="61"/>
  <c r="G10" i="47" s="1"/>
  <c r="R26" i="61"/>
  <c r="F10" i="47" s="1"/>
  <c r="S25" i="61"/>
  <c r="R25" i="61"/>
  <c r="S24" i="61"/>
  <c r="R24" i="61"/>
  <c r="F8" i="47" s="1"/>
  <c r="S23" i="61"/>
  <c r="G7" i="47" s="1"/>
  <c r="R23" i="61"/>
  <c r="S22" i="61"/>
  <c r="G6" i="47" s="1"/>
  <c r="R22" i="61"/>
  <c r="F6" i="47" s="1"/>
  <c r="B82" i="28"/>
  <c r="HV82" i="28" s="1"/>
  <c r="B54" i="28"/>
  <c r="LV54" i="28" s="1"/>
  <c r="B47" i="28"/>
  <c r="KV47" i="28" s="1"/>
  <c r="B19" i="28"/>
  <c r="LV19" i="28" s="1"/>
  <c r="B5" i="28"/>
  <c r="FI5" i="28" s="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KC95" i="47" s="1"/>
  <c r="KD95" i="47" s="1"/>
  <c r="KE95" i="47" s="1"/>
  <c r="F95" i="47"/>
  <c r="G94" i="47"/>
  <c r="F94" i="47"/>
  <c r="G93" i="47"/>
  <c r="F93" i="47"/>
  <c r="G92" i="47"/>
  <c r="F92" i="47"/>
  <c r="G91" i="47"/>
  <c r="F91" i="47"/>
  <c r="G90" i="47"/>
  <c r="F90" i="47"/>
  <c r="G126" i="28"/>
  <c r="CO128" i="28" s="1"/>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101"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F6" i="22"/>
  <c r="E12" i="33" s="1"/>
  <c r="O6" i="19"/>
  <c r="F113" i="22"/>
  <c r="O7" i="19"/>
  <c r="F37" i="22"/>
  <c r="O8" i="19"/>
  <c r="F98" i="22"/>
  <c r="C131" i="48" s="1"/>
  <c r="O9" i="19"/>
  <c r="F80" i="22"/>
  <c r="C104" i="48" s="1"/>
  <c r="O10" i="19"/>
  <c r="F109" i="22"/>
  <c r="O11" i="19"/>
  <c r="F7" i="22"/>
  <c r="O12" i="19"/>
  <c r="F71" i="22"/>
  <c r="O13" i="19"/>
  <c r="F86" i="22"/>
  <c r="O14" i="19"/>
  <c r="F34" i="22"/>
  <c r="B47" i="48" s="1"/>
  <c r="F47" i="22"/>
  <c r="AC27" i="33" s="1"/>
  <c r="O15" i="19"/>
  <c r="F21" i="22"/>
  <c r="O16" i="19"/>
  <c r="F90" i="22"/>
  <c r="O17" i="19"/>
  <c r="F97" i="22"/>
  <c r="B129" i="48" s="1"/>
  <c r="O18" i="19"/>
  <c r="F69" i="22"/>
  <c r="B90" i="48" s="1"/>
  <c r="F5" i="22"/>
  <c r="O19" i="19"/>
  <c r="F39" i="22"/>
  <c r="C52" i="48" s="1"/>
  <c r="O4" i="19"/>
  <c r="F9" i="22"/>
  <c r="F16" i="22"/>
  <c r="W17" i="33" s="1"/>
  <c r="F12" i="22"/>
  <c r="F32" i="22"/>
  <c r="F40" i="22"/>
  <c r="C49" i="48" s="1"/>
  <c r="F35" i="22"/>
  <c r="F75" i="22"/>
  <c r="F31" i="22"/>
  <c r="B27" i="33" s="1"/>
  <c r="F51" i="22"/>
  <c r="F27" i="22"/>
  <c r="F56" i="22"/>
  <c r="B74" i="48" s="1"/>
  <c r="F83" i="22"/>
  <c r="B109" i="48" s="1"/>
  <c r="F74" i="22"/>
  <c r="B96" i="48" s="1"/>
  <c r="F52" i="22"/>
  <c r="B67" i="48" s="1"/>
  <c r="F105" i="22"/>
  <c r="F63" i="22"/>
  <c r="K37" i="33" s="1"/>
  <c r="F23" i="22"/>
  <c r="B29" i="48" s="1"/>
  <c r="F85" i="22"/>
  <c r="B112" i="48" s="1"/>
  <c r="F11" i="22"/>
  <c r="B14" i="48" s="1"/>
  <c r="F99" i="22"/>
  <c r="F55" i="22"/>
  <c r="B71" i="48" s="1"/>
  <c r="F19" i="22"/>
  <c r="B24" i="48" s="1"/>
  <c r="F94" i="22"/>
  <c r="C125" i="48" s="1"/>
  <c r="F45" i="22"/>
  <c r="F88" i="22"/>
  <c r="C116" i="48" s="1"/>
  <c r="F17" i="22"/>
  <c r="F28" i="22"/>
  <c r="F100" i="22"/>
  <c r="F41" i="22"/>
  <c r="F53" i="22"/>
  <c r="F84" i="22"/>
  <c r="C110" i="48" s="1"/>
  <c r="F95" i="22"/>
  <c r="F13" i="22"/>
  <c r="F50" i="22"/>
  <c r="B64" i="48" s="1"/>
  <c r="F38" i="22"/>
  <c r="C51" i="48" s="1"/>
  <c r="F68" i="22"/>
  <c r="F26" i="22"/>
  <c r="AF12" i="33" s="1"/>
  <c r="F14" i="22"/>
  <c r="C18" i="48" s="1"/>
  <c r="F73" i="22"/>
  <c r="B95" i="48" s="1"/>
  <c r="F82" i="22"/>
  <c r="F92" i="22"/>
  <c r="B122" i="48" s="1"/>
  <c r="F60" i="22"/>
  <c r="C79" i="48" s="1"/>
  <c r="F25" i="22"/>
  <c r="C34" i="48" s="1"/>
  <c r="F108" i="22"/>
  <c r="F46" i="22"/>
  <c r="B61" i="48" s="1"/>
  <c r="F106" i="22"/>
  <c r="C142" i="48" s="1"/>
  <c r="F44" i="22"/>
  <c r="C54" i="48" s="1"/>
  <c r="F10" i="22"/>
  <c r="B13" i="48" s="1"/>
  <c r="F70" i="22"/>
  <c r="B91" i="48" s="1"/>
  <c r="F96" i="22"/>
  <c r="C128" i="48" s="1"/>
  <c r="F20" i="22"/>
  <c r="F59" i="22"/>
  <c r="F81" i="22"/>
  <c r="C106" i="48" s="1"/>
  <c r="F87" i="22"/>
  <c r="B115" i="48" s="1"/>
  <c r="F36" i="22"/>
  <c r="B45" i="48" s="1"/>
  <c r="F49" i="22"/>
  <c r="AI27" i="33" s="1"/>
  <c r="F65" i="22"/>
  <c r="Z37" i="33" s="1"/>
  <c r="F24" i="22"/>
  <c r="C28" i="48" s="1"/>
  <c r="F101" i="22"/>
  <c r="C135" i="48" s="1"/>
  <c r="F43" i="22"/>
  <c r="F30" i="22"/>
  <c r="E27" i="33" s="1"/>
  <c r="F67" i="22"/>
  <c r="C87" i="48" s="1"/>
  <c r="F89" i="22"/>
  <c r="C118" i="48" s="1"/>
  <c r="F54" i="22"/>
  <c r="C70" i="48" s="1"/>
  <c r="H153" i="48"/>
  <c r="G153" i="48"/>
  <c r="H150" i="48"/>
  <c r="G150" i="48"/>
  <c r="H147" i="48"/>
  <c r="G147" i="48"/>
  <c r="H145" i="48"/>
  <c r="G145" i="48"/>
  <c r="H142" i="48"/>
  <c r="G142" i="48"/>
  <c r="H141" i="48"/>
  <c r="G141" i="48"/>
  <c r="H139" i="48"/>
  <c r="G139" i="48"/>
  <c r="H138" i="48"/>
  <c r="G138" i="48"/>
  <c r="H135" i="48"/>
  <c r="G135" i="48"/>
  <c r="H134" i="48"/>
  <c r="G134" i="48"/>
  <c r="H132" i="48"/>
  <c r="G132" i="48"/>
  <c r="H131" i="48"/>
  <c r="G131" i="48"/>
  <c r="H129" i="48"/>
  <c r="G129" i="48"/>
  <c r="H128" i="48"/>
  <c r="G128" i="48"/>
  <c r="H126" i="48"/>
  <c r="G126" i="48"/>
  <c r="H125" i="48"/>
  <c r="G125" i="48"/>
  <c r="H122" i="48"/>
  <c r="G122" i="48"/>
  <c r="H121" i="48"/>
  <c r="G121" i="48"/>
  <c r="H119" i="48"/>
  <c r="G119" i="48"/>
  <c r="H118" i="48"/>
  <c r="G118" i="48"/>
  <c r="H116" i="48"/>
  <c r="G116" i="48"/>
  <c r="H115" i="48"/>
  <c r="G115" i="48"/>
  <c r="H113" i="48"/>
  <c r="G113" i="48"/>
  <c r="H112" i="48"/>
  <c r="G112" i="48"/>
  <c r="H110" i="48"/>
  <c r="G110" i="48"/>
  <c r="H109" i="48"/>
  <c r="G109" i="48"/>
  <c r="H107" i="48"/>
  <c r="G107" i="48"/>
  <c r="H106" i="48"/>
  <c r="G106" i="48"/>
  <c r="H104" i="48"/>
  <c r="G104" i="48"/>
  <c r="H103" i="48"/>
  <c r="G103" i="48"/>
  <c r="G101" i="48"/>
  <c r="H100" i="48"/>
  <c r="G100" i="48"/>
  <c r="H97" i="48"/>
  <c r="G97" i="48"/>
  <c r="H96" i="48"/>
  <c r="G96" i="48"/>
  <c r="H95" i="48"/>
  <c r="G95" i="48"/>
  <c r="H94" i="48"/>
  <c r="G94" i="48"/>
  <c r="H92" i="48"/>
  <c r="G92" i="48"/>
  <c r="H91" i="48"/>
  <c r="G91" i="48"/>
  <c r="H90" i="48"/>
  <c r="G90" i="48"/>
  <c r="H89" i="48"/>
  <c r="G89" i="48"/>
  <c r="H87" i="48"/>
  <c r="G87" i="48"/>
  <c r="H86" i="48"/>
  <c r="G86" i="48"/>
  <c r="H85" i="48"/>
  <c r="G85" i="48"/>
  <c r="H84" i="48"/>
  <c r="G84" i="48"/>
  <c r="H82" i="48"/>
  <c r="G82" i="48"/>
  <c r="H81" i="48"/>
  <c r="G81" i="48"/>
  <c r="H80" i="48"/>
  <c r="G80" i="48"/>
  <c r="H79" i="48"/>
  <c r="G79" i="48"/>
  <c r="H77" i="48"/>
  <c r="G77" i="48"/>
  <c r="H76" i="48"/>
  <c r="G76" i="48"/>
  <c r="H74" i="48"/>
  <c r="G74" i="48"/>
  <c r="H73" i="48"/>
  <c r="G73" i="48"/>
  <c r="H71" i="48"/>
  <c r="G71" i="48"/>
  <c r="H70" i="48"/>
  <c r="G70" i="48"/>
  <c r="H68" i="48"/>
  <c r="G68" i="48"/>
  <c r="H67" i="48"/>
  <c r="G67" i="48"/>
  <c r="H65" i="48"/>
  <c r="G65" i="48"/>
  <c r="H64" i="48"/>
  <c r="G64" i="48"/>
  <c r="H62" i="48"/>
  <c r="G62" i="48"/>
  <c r="H61" i="48"/>
  <c r="G61" i="48"/>
  <c r="H60" i="48"/>
  <c r="G60" i="48"/>
  <c r="H59" i="48"/>
  <c r="G59" i="48"/>
  <c r="H57" i="48"/>
  <c r="G57" i="48"/>
  <c r="H56" i="48"/>
  <c r="G56" i="48"/>
  <c r="H55" i="48"/>
  <c r="G55" i="48"/>
  <c r="H54" i="48"/>
  <c r="G54" i="48"/>
  <c r="H52" i="48"/>
  <c r="G52" i="48"/>
  <c r="H51" i="48"/>
  <c r="G51" i="48"/>
  <c r="H50" i="48"/>
  <c r="G50" i="48"/>
  <c r="H49" i="48"/>
  <c r="G49" i="48"/>
  <c r="H47" i="48"/>
  <c r="G47" i="48"/>
  <c r="H46" i="48"/>
  <c r="G46" i="48"/>
  <c r="H45" i="48"/>
  <c r="G45" i="48"/>
  <c r="H44" i="48"/>
  <c r="G44" i="48"/>
  <c r="H42" i="48"/>
  <c r="G42" i="48"/>
  <c r="H41" i="48"/>
  <c r="G41" i="48"/>
  <c r="H40" i="48"/>
  <c r="G40" i="48"/>
  <c r="H38" i="48"/>
  <c r="G38" i="48"/>
  <c r="H37" i="48"/>
  <c r="G37" i="48"/>
  <c r="H36" i="48"/>
  <c r="G36" i="48"/>
  <c r="H34" i="48"/>
  <c r="G34" i="48"/>
  <c r="H33" i="48"/>
  <c r="G33" i="48"/>
  <c r="H32" i="48"/>
  <c r="G32" i="48"/>
  <c r="H30" i="48"/>
  <c r="G30" i="48"/>
  <c r="H29" i="48"/>
  <c r="G29" i="48"/>
  <c r="H28" i="48"/>
  <c r="G28" i="48"/>
  <c r="H26" i="48"/>
  <c r="G26" i="48"/>
  <c r="H25" i="48"/>
  <c r="G25" i="48"/>
  <c r="H24" i="48"/>
  <c r="G24" i="48"/>
  <c r="H22" i="48"/>
  <c r="G22" i="48"/>
  <c r="H21" i="48"/>
  <c r="G21" i="48"/>
  <c r="H20" i="48"/>
  <c r="G20" i="48"/>
  <c r="H18" i="48"/>
  <c r="G18" i="48"/>
  <c r="H17" i="48"/>
  <c r="G17" i="48"/>
  <c r="H16" i="48"/>
  <c r="G16" i="48"/>
  <c r="H14" i="48"/>
  <c r="G14" i="48"/>
  <c r="H13" i="48"/>
  <c r="G13" i="48"/>
  <c r="H12" i="48"/>
  <c r="G12" i="48"/>
  <c r="H11" i="48"/>
  <c r="G11" i="48"/>
  <c r="H9" i="48"/>
  <c r="G9"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92" i="47"/>
  <c r="MC94" i="47"/>
  <c r="MD94" i="47" s="1"/>
  <c r="ME94" i="47" s="1"/>
  <c r="MC103" i="47"/>
  <c r="MF103" i="47" s="1"/>
  <c r="MC98" i="47"/>
  <c r="LP92" i="47"/>
  <c r="LP94" i="47"/>
  <c r="LP103" i="47"/>
  <c r="LQ103" i="47" s="1"/>
  <c r="LR103" i="47" s="1"/>
  <c r="LP98" i="47"/>
  <c r="LS98" i="47" s="1"/>
  <c r="LC92" i="47"/>
  <c r="LD92" i="47" s="1"/>
  <c r="LE92" i="47" s="1"/>
  <c r="LC94" i="47"/>
  <c r="LF94" i="47" s="1"/>
  <c r="LC103" i="47"/>
  <c r="LF103" i="47" s="1"/>
  <c r="LC98" i="47"/>
  <c r="KP92" i="47"/>
  <c r="KQ92" i="47" s="1"/>
  <c r="KR92" i="47" s="1"/>
  <c r="KP94" i="47"/>
  <c r="KP103" i="47"/>
  <c r="KP98" i="47"/>
  <c r="KS98" i="47" s="1"/>
  <c r="KC92" i="47"/>
  <c r="KF92" i="47" s="1"/>
  <c r="KC94" i="47"/>
  <c r="KD94" i="47" s="1"/>
  <c r="KE94" i="47" s="1"/>
  <c r="KC103" i="47"/>
  <c r="KC98" i="47"/>
  <c r="KD98" i="47" s="1"/>
  <c r="KE98" i="47" s="1"/>
  <c r="JP92" i="47"/>
  <c r="JQ92" i="47" s="1"/>
  <c r="JR92" i="47" s="1"/>
  <c r="JP94" i="47"/>
  <c r="JS94" i="47" s="1"/>
  <c r="JP103" i="47"/>
  <c r="JP98" i="47"/>
  <c r="JC92" i="47"/>
  <c r="JC94" i="47"/>
  <c r="JF94" i="47" s="1"/>
  <c r="JC103" i="47"/>
  <c r="JD103" i="47" s="1"/>
  <c r="JE103" i="47" s="1"/>
  <c r="JC98" i="47"/>
  <c r="IP92" i="47"/>
  <c r="IS92" i="47" s="1"/>
  <c r="IP94" i="47"/>
  <c r="IS94" i="47" s="1"/>
  <c r="IP103" i="47"/>
  <c r="IS103" i="47" s="1"/>
  <c r="IP98" i="47"/>
  <c r="IC92" i="47"/>
  <c r="IC94" i="47"/>
  <c r="IC103" i="47"/>
  <c r="IF103" i="47" s="1"/>
  <c r="IC98" i="47"/>
  <c r="HP92" i="47"/>
  <c r="HP94" i="47"/>
  <c r="HQ94" i="47" s="1"/>
  <c r="HR94" i="47" s="1"/>
  <c r="HP103" i="47"/>
  <c r="HS103" i="47" s="1"/>
  <c r="HP98" i="47"/>
  <c r="HQ98" i="47" s="1"/>
  <c r="HR98" i="47" s="1"/>
  <c r="HC92" i="47"/>
  <c r="HD92" i="47" s="1"/>
  <c r="HE92" i="47" s="1"/>
  <c r="HC94" i="47"/>
  <c r="HC103" i="47"/>
  <c r="HC98" i="47"/>
  <c r="HD98" i="47" s="1"/>
  <c r="HE98" i="47" s="1"/>
  <c r="GP92" i="47"/>
  <c r="GS92" i="47" s="1"/>
  <c r="GP94" i="47"/>
  <c r="GQ94" i="47" s="1"/>
  <c r="GR94" i="47" s="1"/>
  <c r="GP103" i="47"/>
  <c r="GS103" i="47" s="1"/>
  <c r="GP98" i="47"/>
  <c r="GS98" i="47" s="1"/>
  <c r="GC92" i="47"/>
  <c r="GD92" i="47" s="1"/>
  <c r="GE92" i="47" s="1"/>
  <c r="GC94" i="47"/>
  <c r="GF94" i="47" s="1"/>
  <c r="GC103" i="47"/>
  <c r="GF103" i="47" s="1"/>
  <c r="GC98" i="47"/>
  <c r="FP92" i="47"/>
  <c r="FQ92" i="47" s="1"/>
  <c r="FR92" i="47" s="1"/>
  <c r="FP94" i="47"/>
  <c r="FS94" i="47" s="1"/>
  <c r="FP103" i="47"/>
  <c r="FP98" i="47"/>
  <c r="FQ98" i="47" s="1"/>
  <c r="FR98" i="47" s="1"/>
  <c r="FC92" i="47"/>
  <c r="FF92" i="47" s="1"/>
  <c r="FC94" i="47"/>
  <c r="FC103" i="47"/>
  <c r="FD103" i="47" s="1"/>
  <c r="FE103" i="47" s="1"/>
  <c r="FC98" i="47"/>
  <c r="EP92" i="47"/>
  <c r="EP94" i="47"/>
  <c r="EP103" i="47"/>
  <c r="ES103" i="47" s="1"/>
  <c r="EP98" i="47"/>
  <c r="EQ98" i="47" s="1"/>
  <c r="ER98" i="47" s="1"/>
  <c r="EC92" i="47"/>
  <c r="EF92" i="47" s="1"/>
  <c r="EC94" i="47"/>
  <c r="EF94" i="47" s="1"/>
  <c r="EC103" i="47"/>
  <c r="EC98" i="47"/>
  <c r="DP92" i="47"/>
  <c r="DS92" i="47" s="1"/>
  <c r="DP94" i="47"/>
  <c r="DP103" i="47"/>
  <c r="DS103" i="47" s="1"/>
  <c r="DP98" i="47"/>
  <c r="DQ98" i="47" s="1"/>
  <c r="DR98" i="47" s="1"/>
  <c r="DC92" i="47"/>
  <c r="DF92" i="47" s="1"/>
  <c r="DC94" i="47"/>
  <c r="DF94" i="47" s="1"/>
  <c r="DC103" i="47"/>
  <c r="DF103" i="47" s="1"/>
  <c r="DC98" i="47"/>
  <c r="DD98" i="47" s="1"/>
  <c r="DE98" i="47" s="1"/>
  <c r="CP92" i="47"/>
  <c r="CQ92" i="47" s="1"/>
  <c r="CR92" i="47" s="1"/>
  <c r="CP94" i="47"/>
  <c r="CQ94" i="47" s="1"/>
  <c r="CR94" i="47" s="1"/>
  <c r="CP103" i="47"/>
  <c r="CQ103" i="47" s="1"/>
  <c r="CR103" i="47" s="1"/>
  <c r="CP98" i="47"/>
  <c r="CS98" i="47" s="1"/>
  <c r="CC92" i="47"/>
  <c r="CD92" i="47" s="1"/>
  <c r="CE92" i="47" s="1"/>
  <c r="CC94" i="47"/>
  <c r="CD94" i="47" s="1"/>
  <c r="CE94" i="47" s="1"/>
  <c r="CC103" i="47"/>
  <c r="CF103" i="47" s="1"/>
  <c r="CC98" i="47"/>
  <c r="CD98" i="47" s="1"/>
  <c r="CE98" i="47" s="1"/>
  <c r="BP92" i="47"/>
  <c r="BS92" i="47" s="1"/>
  <c r="BP94" i="47"/>
  <c r="BQ94" i="47" s="1"/>
  <c r="BR94" i="47" s="1"/>
  <c r="BP103" i="47"/>
  <c r="BS103" i="47" s="1"/>
  <c r="BP98" i="47"/>
  <c r="BS98" i="47" s="1"/>
  <c r="BC92" i="47"/>
  <c r="BF92" i="47" s="1"/>
  <c r="BC94" i="47"/>
  <c r="BD94" i="47" s="1"/>
  <c r="BE94" i="47" s="1"/>
  <c r="BC103" i="47"/>
  <c r="BF103" i="47" s="1"/>
  <c r="BC98" i="47"/>
  <c r="AP92" i="47"/>
  <c r="AS92" i="47" s="1"/>
  <c r="AP94" i="47"/>
  <c r="AS94" i="47" s="1"/>
  <c r="AP103" i="47"/>
  <c r="AS103" i="47" s="1"/>
  <c r="AP98" i="47"/>
  <c r="AQ98" i="47" s="1"/>
  <c r="AR98" i="47" s="1"/>
  <c r="AC92" i="47"/>
  <c r="AC98" i="47"/>
  <c r="AD98" i="47" s="1"/>
  <c r="AE98" i="47" s="1"/>
  <c r="AC94" i="47"/>
  <c r="AF94" i="47" s="1"/>
  <c r="AC103" i="47"/>
  <c r="AF103" i="47" s="1"/>
  <c r="O105" i="47"/>
  <c r="O104" i="47"/>
  <c r="O103" i="47"/>
  <c r="O102" i="47"/>
  <c r="O101" i="47"/>
  <c r="O100" i="47"/>
  <c r="O99" i="47"/>
  <c r="O98" i="47"/>
  <c r="O97" i="47"/>
  <c r="O96" i="47"/>
  <c r="O95" i="47"/>
  <c r="O94" i="47"/>
  <c r="O93" i="47"/>
  <c r="O92" i="47"/>
  <c r="O91" i="47"/>
  <c r="O90" i="47"/>
  <c r="MB126" i="28"/>
  <c r="MB130" i="28" s="1"/>
  <c r="MB131" i="28" s="1"/>
  <c r="LO126" i="28"/>
  <c r="LO130" i="28" s="1"/>
  <c r="LO131" i="28" s="1"/>
  <c r="KO126" i="28"/>
  <c r="KO130" i="28" s="1"/>
  <c r="KO131" i="28" s="1"/>
  <c r="JO126" i="28"/>
  <c r="JO130" i="28" s="1"/>
  <c r="JO131" i="28" s="1"/>
  <c r="IO126" i="28"/>
  <c r="IO130" i="28" s="1"/>
  <c r="IO131" i="28" s="1"/>
  <c r="LB126" i="28"/>
  <c r="LB130" i="28" s="1"/>
  <c r="LB131" i="28" s="1"/>
  <c r="KB126" i="28"/>
  <c r="KB130" i="28" s="1"/>
  <c r="KB131" i="28" s="1"/>
  <c r="JB126" i="28"/>
  <c r="JB130" i="28" s="1"/>
  <c r="JB131" i="28" s="1"/>
  <c r="IB126" i="28"/>
  <c r="IB130" i="28" s="1"/>
  <c r="IB131" i="28" s="1"/>
  <c r="HO126" i="28"/>
  <c r="HO130" i="28" s="1"/>
  <c r="HO131" i="28" s="1"/>
  <c r="GO126" i="28"/>
  <c r="GO130" i="28" s="1"/>
  <c r="GO131" i="28" s="1"/>
  <c r="FO126" i="28"/>
  <c r="FO130" i="28" s="1"/>
  <c r="FO131" i="28" s="1"/>
  <c r="EO126" i="28"/>
  <c r="EO130" i="28" s="1"/>
  <c r="EO131" i="28" s="1"/>
  <c r="HB126" i="28"/>
  <c r="HB130" i="28" s="1"/>
  <c r="HB131" i="28" s="1"/>
  <c r="GB126" i="28"/>
  <c r="GB130" i="28" s="1"/>
  <c r="GB131" i="28" s="1"/>
  <c r="FB126" i="28"/>
  <c r="FB130" i="28" s="1"/>
  <c r="FB131" i="28" s="1"/>
  <c r="EB126" i="28"/>
  <c r="EB130" i="28" s="1"/>
  <c r="EB131" i="28" s="1"/>
  <c r="DO126" i="28"/>
  <c r="DO130" i="28" s="1"/>
  <c r="DO131" i="28" s="1"/>
  <c r="CO126" i="28"/>
  <c r="CO130" i="28" s="1"/>
  <c r="CO131" i="28" s="1"/>
  <c r="DB126" i="28"/>
  <c r="DB130" i="28" s="1"/>
  <c r="DB131" i="28" s="1"/>
  <c r="CB126" i="28"/>
  <c r="CB130" i="28" s="1"/>
  <c r="CB131" i="28" s="1"/>
  <c r="BO126" i="28"/>
  <c r="BO130" i="28" s="1"/>
  <c r="BO131" i="28" s="1"/>
  <c r="BB126" i="28"/>
  <c r="BB130" i="28" s="1"/>
  <c r="BB131" i="28" s="1"/>
  <c r="AO126" i="28"/>
  <c r="AO130" i="28" s="1"/>
  <c r="AO131" i="28" s="1"/>
  <c r="AB126" i="28"/>
  <c r="AB130" i="28" s="1"/>
  <c r="AB131" i="28" s="1"/>
  <c r="P94" i="47"/>
  <c r="P98" i="47"/>
  <c r="S98" i="47" s="1"/>
  <c r="P103" i="47"/>
  <c r="Q103" i="47" s="1"/>
  <c r="R103"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16" i="19"/>
  <c r="E5" i="19"/>
  <c r="E6" i="19"/>
  <c r="E7" i="19"/>
  <c r="E8" i="19"/>
  <c r="E9" i="19"/>
  <c r="E10" i="19"/>
  <c r="E11" i="19"/>
  <c r="E12" i="19"/>
  <c r="E13" i="19"/>
  <c r="E14" i="19"/>
  <c r="E15" i="19"/>
  <c r="E17" i="19"/>
  <c r="E18" i="19"/>
  <c r="E19" i="19"/>
  <c r="E20" i="19"/>
  <c r="E21" i="19"/>
  <c r="E22" i="19"/>
  <c r="E23" i="19"/>
  <c r="E24" i="19"/>
  <c r="E25" i="19"/>
  <c r="E26" i="19"/>
  <c r="E27" i="19"/>
  <c r="E28" i="19"/>
  <c r="E29" i="19"/>
  <c r="E30" i="19"/>
  <c r="E31" i="19"/>
  <c r="E32" i="19"/>
  <c r="E33" i="19"/>
  <c r="E34" i="19"/>
  <c r="E35" i="19"/>
  <c r="E36" i="19"/>
  <c r="E37" i="19"/>
  <c r="E38" i="19"/>
  <c r="E39" i="19"/>
  <c r="E4" i="19"/>
  <c r="T111" i="28"/>
  <c r="T112" i="28"/>
  <c r="T113" i="28"/>
  <c r="T119" i="28"/>
  <c r="N12" i="33"/>
  <c r="J91" i="28"/>
  <c r="R79" i="33"/>
  <c r="C147" i="48"/>
  <c r="B147" i="48"/>
  <c r="F79" i="33"/>
  <c r="B145" i="48"/>
  <c r="C145" i="48"/>
  <c r="C141" i="48"/>
  <c r="B141" i="48"/>
  <c r="C132" i="48"/>
  <c r="B132" i="48"/>
  <c r="C134" i="48"/>
  <c r="B134" i="48"/>
  <c r="B135" i="48"/>
  <c r="B128" i="48"/>
  <c r="B118" i="48"/>
  <c r="C115" i="48"/>
  <c r="C97" i="48"/>
  <c r="B97" i="48"/>
  <c r="AF37" i="33"/>
  <c r="T37" i="33"/>
  <c r="N37" i="33"/>
  <c r="B89" i="48"/>
  <c r="C89" i="48"/>
  <c r="H37" i="33"/>
  <c r="W32" i="33"/>
  <c r="C76" i="48"/>
  <c r="B76" i="48"/>
  <c r="C74" i="48"/>
  <c r="C68" i="48"/>
  <c r="B68" i="48"/>
  <c r="B32" i="33"/>
  <c r="C61" i="48"/>
  <c r="B54" i="48"/>
  <c r="C57" i="48"/>
  <c r="B57" i="48"/>
  <c r="B50" i="48"/>
  <c r="C50" i="48"/>
  <c r="C44" i="48"/>
  <c r="B44" i="48"/>
  <c r="C37" i="48"/>
  <c r="B37" i="48"/>
  <c r="C32" i="48"/>
  <c r="B32" i="48"/>
  <c r="B25" i="48"/>
  <c r="C25" i="48"/>
  <c r="C24" i="48"/>
  <c r="E17" i="33"/>
  <c r="B20" i="48"/>
  <c r="B17" i="33"/>
  <c r="Z12" i="33"/>
  <c r="B11" i="48"/>
  <c r="C11" i="48"/>
  <c r="W12" i="33"/>
  <c r="C5" i="48"/>
  <c r="B5" i="48"/>
  <c r="L108" i="28"/>
  <c r="AC22" i="33"/>
  <c r="T27" i="33"/>
  <c r="W27" i="33"/>
  <c r="W22" i="33"/>
  <c r="K27" i="33"/>
  <c r="B22" i="33"/>
  <c r="L107" i="28"/>
  <c r="L90" i="28"/>
  <c r="J107" i="28"/>
  <c r="J90" i="28"/>
  <c r="L91" i="28"/>
  <c r="T92" i="28"/>
  <c r="T93" i="28"/>
  <c r="T114" i="28"/>
  <c r="T108" i="28"/>
  <c r="T109" i="28"/>
  <c r="T110" i="28"/>
  <c r="T94" i="28"/>
  <c r="T97" i="28"/>
  <c r="T90" i="28"/>
  <c r="T91" i="28"/>
  <c r="T107" i="28"/>
  <c r="T116" i="28"/>
  <c r="T117" i="28"/>
  <c r="T124" i="28"/>
  <c r="T121" i="28"/>
  <c r="T122" i="28"/>
  <c r="O126" i="28"/>
  <c r="O130" i="28" s="1"/>
  <c r="O131" i="28" s="1"/>
  <c r="C20" i="48"/>
  <c r="C33" i="48"/>
  <c r="C112" i="48"/>
  <c r="Q32" i="33"/>
  <c r="B79" i="48"/>
  <c r="B28" i="48"/>
  <c r="C122" i="48"/>
  <c r="C91" i="48"/>
  <c r="AI32" i="33"/>
  <c r="B85" i="48"/>
  <c r="C85" i="48"/>
  <c r="B104" i="48"/>
  <c r="Z17" i="33"/>
  <c r="C26" i="48"/>
  <c r="B26" i="48"/>
  <c r="K22" i="33"/>
  <c r="C47" i="48"/>
  <c r="N27" i="33"/>
  <c r="B46" i="48"/>
  <c r="C46" i="48"/>
  <c r="Q27" i="33"/>
  <c r="L97" i="33"/>
  <c r="C153" i="48"/>
  <c r="B153" i="48"/>
  <c r="C92" i="48"/>
  <c r="AI37" i="33"/>
  <c r="B92" i="48"/>
  <c r="K12" i="33"/>
  <c r="C7" i="48"/>
  <c r="B7" i="48"/>
  <c r="C119" i="48"/>
  <c r="B119" i="48"/>
  <c r="F91" i="22"/>
  <c r="C121" i="48" s="1"/>
  <c r="F29" i="22"/>
  <c r="B38" i="48" s="1"/>
  <c r="F33" i="22"/>
  <c r="F15" i="22"/>
  <c r="C16" i="48" s="1"/>
  <c r="F79" i="22"/>
  <c r="B103" i="48" s="1"/>
  <c r="F18" i="22"/>
  <c r="F64" i="22"/>
  <c r="C84" i="48" s="1"/>
  <c r="F61" i="22"/>
  <c r="B80" i="48" s="1"/>
  <c r="F62" i="22"/>
  <c r="K32" i="33" s="1"/>
  <c r="F48" i="22"/>
  <c r="AI22" i="33" s="1"/>
  <c r="F4" i="22"/>
  <c r="C4" i="48" s="1"/>
  <c r="F72" i="22"/>
  <c r="F58" i="22"/>
  <c r="N32" i="33" s="1"/>
  <c r="F66" i="22"/>
  <c r="B86" i="48" s="1"/>
  <c r="B42" i="48"/>
  <c r="B142" i="48"/>
  <c r="F77" i="22"/>
  <c r="C100" i="48" s="1"/>
  <c r="F78" i="22"/>
  <c r="C101" i="48" s="1"/>
  <c r="F103" i="22"/>
  <c r="C138" i="48" s="1"/>
  <c r="F57" i="22"/>
  <c r="C73" i="48" s="1"/>
  <c r="F111" i="22"/>
  <c r="B150" i="48" s="1"/>
  <c r="F42" i="22"/>
  <c r="C56" i="48" s="1"/>
  <c r="F22" i="22"/>
  <c r="B30" i="48" s="1"/>
  <c r="F104" i="22"/>
  <c r="B139" i="48" s="1"/>
  <c r="F8" i="22"/>
  <c r="H17" i="33" s="1"/>
  <c r="C95" i="48"/>
  <c r="Q12" i="33"/>
  <c r="B18" i="48"/>
  <c r="AC37" i="33"/>
  <c r="B116" i="48"/>
  <c r="C71" i="48"/>
  <c r="E37" i="33"/>
  <c r="C36" i="48"/>
  <c r="AF32" i="33"/>
  <c r="C96" i="48"/>
  <c r="C42" i="48"/>
  <c r="B36" i="48"/>
  <c r="B106" i="48"/>
  <c r="E178" i="18"/>
  <c r="J5" i="44" s="1"/>
  <c r="E233" i="18"/>
  <c r="E111" i="18"/>
  <c r="H94" i="22" s="1"/>
  <c r="I125" i="48" s="1"/>
  <c r="E263" i="18"/>
  <c r="E262" i="18"/>
  <c r="M3" i="48" s="1"/>
  <c r="E183" i="18"/>
  <c r="E149" i="18"/>
  <c r="E173" i="18"/>
  <c r="B152" i="48" s="1"/>
  <c r="E243" i="18"/>
  <c r="H8" i="30" s="1"/>
  <c r="E219" i="18"/>
  <c r="E118" i="18"/>
  <c r="H57" i="22" s="1"/>
  <c r="B36" i="33" s="1"/>
  <c r="E169" i="18"/>
  <c r="E207" i="18"/>
  <c r="EL129" i="47" s="1"/>
  <c r="E175" i="18"/>
  <c r="E247" i="18"/>
  <c r="E213" i="18"/>
  <c r="LG4" i="47" s="1"/>
  <c r="E160" i="18"/>
  <c r="E189" i="18"/>
  <c r="E201" i="18"/>
  <c r="E260" i="18"/>
  <c r="B3" i="48" s="1"/>
  <c r="E143" i="18"/>
  <c r="E128" i="18"/>
  <c r="C2" i="44"/>
  <c r="E124" i="18"/>
  <c r="A1" i="19" s="1"/>
  <c r="E221" i="18"/>
  <c r="B134" i="28" s="1"/>
  <c r="E172" i="18"/>
  <c r="E215" i="18"/>
  <c r="B106" i="28" s="1"/>
  <c r="E236" i="18"/>
  <c r="H4" i="30" s="1"/>
  <c r="E109" i="18"/>
  <c r="H53" i="22" s="1"/>
  <c r="E110" i="18"/>
  <c r="E222" i="18"/>
  <c r="B3" i="30" s="1"/>
  <c r="E229" i="18"/>
  <c r="B8" i="30" s="1"/>
  <c r="E230" i="18"/>
  <c r="E235" i="18"/>
  <c r="B9" i="30"/>
  <c r="E204" i="18"/>
  <c r="B1" i="28" s="1"/>
  <c r="E209" i="18"/>
  <c r="CM4" i="47" s="1"/>
  <c r="E259" i="18"/>
  <c r="B144" i="48" s="1"/>
  <c r="E177" i="18"/>
  <c r="C5" i="44" s="1"/>
  <c r="E146" i="18"/>
  <c r="E151" i="18"/>
  <c r="E193" i="18"/>
  <c r="B3" i="3" s="1"/>
  <c r="E244" i="18"/>
  <c r="B136" i="47" s="1"/>
  <c r="E205" i="18"/>
  <c r="B3" i="47" s="1"/>
  <c r="E113" i="18"/>
  <c r="H34" i="22" s="1"/>
  <c r="E171" i="18"/>
  <c r="K109" i="22" s="1"/>
  <c r="R77" i="33" s="1"/>
  <c r="E231" i="18"/>
  <c r="B138" i="28" s="1"/>
  <c r="E196" i="18"/>
  <c r="L1" i="18" s="1"/>
  <c r="E206" i="18"/>
  <c r="F4" i="28" s="1"/>
  <c r="E234" i="18"/>
  <c r="E254" i="18"/>
  <c r="D3" i="48" s="1"/>
  <c r="E180" i="18"/>
  <c r="C1" i="45" s="1"/>
  <c r="E156" i="18"/>
  <c r="E154" i="18"/>
  <c r="E212" i="18"/>
  <c r="IE4" i="47" s="1"/>
  <c r="E191" i="18"/>
  <c r="E245" i="18"/>
  <c r="DL130" i="28" s="1"/>
  <c r="E162" i="18"/>
  <c r="E104" i="18"/>
  <c r="H49" i="22" s="1"/>
  <c r="AI26" i="33" s="1"/>
  <c r="E227" i="18"/>
  <c r="B7" i="30" s="1"/>
  <c r="E135" i="18"/>
  <c r="D3" i="29" s="1"/>
  <c r="E256" i="18"/>
  <c r="B99" i="48" s="1"/>
  <c r="E150" i="18"/>
  <c r="E232" i="18"/>
  <c r="B139" i="47" s="1"/>
  <c r="E141" i="18"/>
  <c r="R96" i="33" s="1"/>
  <c r="E211" i="18"/>
  <c r="HQ127" i="47" s="1"/>
  <c r="E194" i="18"/>
  <c r="G1" i="19" s="1"/>
  <c r="E228" i="18"/>
  <c r="B6" i="30" s="1"/>
  <c r="E163" i="18"/>
  <c r="E261" i="18"/>
  <c r="M2" i="48" s="1"/>
  <c r="E220" i="18"/>
  <c r="B127" i="28" s="1"/>
  <c r="I127" i="28" s="1"/>
  <c r="E241" i="18"/>
  <c r="H20" i="30" s="1"/>
  <c r="E126" i="18"/>
  <c r="F1" i="18" s="1"/>
  <c r="E217" i="18"/>
  <c r="B120" i="28" s="1"/>
  <c r="E125" i="18"/>
  <c r="B1" i="22" s="1"/>
  <c r="E225" i="18"/>
  <c r="B4" i="30" s="1"/>
  <c r="E257" i="18"/>
  <c r="B124" i="48" s="1"/>
  <c r="E251" i="18"/>
  <c r="F3" i="48" s="1"/>
  <c r="E214" i="18"/>
  <c r="B89" i="47" s="1"/>
  <c r="E161" i="18"/>
  <c r="E210" i="18"/>
  <c r="AP4" i="47" s="1"/>
  <c r="E252" i="18"/>
  <c r="G3" i="48" s="1"/>
  <c r="E181" i="18"/>
  <c r="AN31" i="33" s="1"/>
  <c r="E142" i="18"/>
  <c r="E237" i="18"/>
  <c r="O4" i="30" s="1"/>
  <c r="E105" i="18"/>
  <c r="H113" i="22" s="1"/>
  <c r="E195" i="18"/>
  <c r="E216" i="18"/>
  <c r="B115" i="28" s="1"/>
  <c r="E107" i="18"/>
  <c r="H46" i="22" s="1"/>
  <c r="E167" i="18"/>
  <c r="E242" i="18"/>
  <c r="H14" i="30" s="1"/>
  <c r="E208" i="18"/>
  <c r="LY130" i="47" s="1"/>
  <c r="E250" i="18"/>
  <c r="B1" i="48" s="1"/>
  <c r="E121" i="18"/>
  <c r="E1" i="33" s="1"/>
  <c r="E114" i="18"/>
  <c r="H78" i="22" s="1"/>
  <c r="I101" i="48" s="1"/>
  <c r="E218" i="18"/>
  <c r="B123" i="28" s="1"/>
  <c r="E176" i="18"/>
  <c r="C3" i="29" s="1"/>
  <c r="E106" i="18"/>
  <c r="H22" i="22" s="1"/>
  <c r="I30" i="48" s="1"/>
  <c r="E155" i="18"/>
  <c r="E239" i="18"/>
  <c r="H6" i="30" s="1"/>
  <c r="E144" i="18"/>
  <c r="B2" i="3"/>
  <c r="E246" i="18"/>
  <c r="E153" i="18"/>
  <c r="E134" i="18"/>
  <c r="F2" i="33" s="1"/>
  <c r="E226" i="18"/>
  <c r="B5" i="30" s="1"/>
  <c r="E158" i="18"/>
  <c r="E127" i="18"/>
  <c r="B1" i="29" s="1"/>
  <c r="E108" i="18"/>
  <c r="H26" i="22" s="1"/>
  <c r="E253" i="18"/>
  <c r="C3" i="48" s="1"/>
  <c r="E240" i="18"/>
  <c r="H7" i="30" s="1"/>
  <c r="E190" i="18"/>
  <c r="J5" i="16" s="1"/>
  <c r="E148" i="18"/>
  <c r="E185" i="18"/>
  <c r="I3" i="48"/>
  <c r="E187" i="18"/>
  <c r="E258" i="18"/>
  <c r="B137" i="48" s="1"/>
  <c r="E184" i="18"/>
  <c r="J3" i="48" s="1"/>
  <c r="E157" i="18"/>
  <c r="E145" i="18"/>
  <c r="E116" i="18"/>
  <c r="H97" i="22" s="1"/>
  <c r="I129" i="48" s="1"/>
  <c r="E117" i="18"/>
  <c r="H69" i="22" s="1"/>
  <c r="I90" i="48" s="1"/>
  <c r="E166" i="18"/>
  <c r="E159" i="18"/>
  <c r="E223" i="18"/>
  <c r="H3" i="30" s="1"/>
  <c r="E198" i="18"/>
  <c r="G4" i="19" s="1"/>
  <c r="E164" i="18"/>
  <c r="E115" i="18"/>
  <c r="H52" i="22" s="1"/>
  <c r="H31" i="33" s="1"/>
  <c r="E238" i="18"/>
  <c r="E112" i="18"/>
  <c r="H19" i="22" s="1"/>
  <c r="T11" i="33" s="1"/>
  <c r="E170" i="18"/>
  <c r="K108" i="22" s="1"/>
  <c r="F77" i="33" s="1"/>
  <c r="E255" i="18"/>
  <c r="E3" i="48" s="1"/>
  <c r="E182" i="18"/>
  <c r="E179" i="18"/>
  <c r="K7" i="44" s="1"/>
  <c r="E147" i="18"/>
  <c r="E152" i="18"/>
  <c r="E136" i="18"/>
  <c r="E192" i="18"/>
  <c r="E224" i="18"/>
  <c r="HF127" i="47" s="1"/>
  <c r="E168" i="18"/>
  <c r="E165" i="18"/>
  <c r="E103" i="18"/>
  <c r="H101" i="22" s="1"/>
  <c r="I135" i="48" s="1"/>
  <c r="C45" i="48"/>
  <c r="N17" i="33"/>
  <c r="C17" i="48"/>
  <c r="B17" i="48"/>
  <c r="H32" i="33"/>
  <c r="B49" i="48"/>
  <c r="C67" i="48"/>
  <c r="B82" i="48"/>
  <c r="C82" i="48"/>
  <c r="B87" i="48"/>
  <c r="H27" i="33"/>
  <c r="C139" i="48"/>
  <c r="T12" i="33"/>
  <c r="F5" i="44"/>
  <c r="FS4" i="28"/>
  <c r="HT129" i="28"/>
  <c r="KT4" i="28"/>
  <c r="H30" i="22"/>
  <c r="E26" i="33" s="1"/>
  <c r="F5" i="3"/>
  <c r="C5" i="3"/>
  <c r="I5" i="3"/>
  <c r="IP4" i="47"/>
  <c r="EC127" i="47"/>
  <c r="CP4" i="47"/>
  <c r="MC4" i="47"/>
  <c r="KC4" i="47"/>
  <c r="GC4" i="47"/>
  <c r="BP127" i="47"/>
  <c r="LP4" i="47"/>
  <c r="HP4" i="47"/>
  <c r="FP4" i="47"/>
  <c r="BP4" i="47"/>
  <c r="IP127" i="47"/>
  <c r="HC4" i="47"/>
  <c r="DC4" i="47"/>
  <c r="BC4" i="47"/>
  <c r="DC4" i="28"/>
  <c r="CP129" i="28"/>
  <c r="IC4" i="28"/>
  <c r="CC129" i="28"/>
  <c r="BC4" i="28"/>
  <c r="EC129" i="28"/>
  <c r="P129" i="28"/>
  <c r="LC4" i="28"/>
  <c r="CC4" i="28"/>
  <c r="DP129" i="28"/>
  <c r="KC129" i="28"/>
  <c r="BP4" i="28"/>
  <c r="HC4" i="28"/>
  <c r="GC129" i="28"/>
  <c r="AC4" i="47"/>
  <c r="LC129" i="28"/>
  <c r="KP4" i="28"/>
  <c r="P4" i="47"/>
  <c r="EP4" i="28"/>
  <c r="KP129" i="28"/>
  <c r="GZ4" i="47"/>
  <c r="EZ4" i="47"/>
  <c r="KM4" i="47"/>
  <c r="IM4" i="47"/>
  <c r="AM4" i="47"/>
  <c r="LZ4" i="47"/>
  <c r="FZ4" i="47"/>
  <c r="DZ4" i="47"/>
  <c r="JM4" i="47"/>
  <c r="HM4" i="47"/>
  <c r="KM4" i="28"/>
  <c r="DZ4" i="28"/>
  <c r="LM4" i="28"/>
  <c r="IZ4" i="28"/>
  <c r="EM4" i="28"/>
  <c r="CM4" i="28"/>
  <c r="DM4" i="28"/>
  <c r="M4" i="28"/>
  <c r="Z4" i="47"/>
  <c r="F4" i="47"/>
  <c r="KZ4" i="28"/>
  <c r="GZ4" i="28"/>
  <c r="GM4" i="28"/>
  <c r="HZ4" i="28"/>
  <c r="H12" i="30"/>
  <c r="H79" i="22"/>
  <c r="I103" i="48" s="1"/>
  <c r="H104" i="22"/>
  <c r="I139" i="48" s="1"/>
  <c r="H77" i="22"/>
  <c r="I100" i="48" s="1"/>
  <c r="H29" i="22"/>
  <c r="E21" i="33" s="1"/>
  <c r="H18" i="22"/>
  <c r="I21" i="48" s="1"/>
  <c r="H62" i="22"/>
  <c r="I81" i="48" s="1"/>
  <c r="H42" i="22"/>
  <c r="I56" i="48" s="1"/>
  <c r="H88" i="22"/>
  <c r="I116" i="48" s="1"/>
  <c r="H7" i="22"/>
  <c r="I7" i="48" s="1"/>
  <c r="H55" i="22"/>
  <c r="I71" i="48" s="1"/>
  <c r="H66" i="22"/>
  <c r="I86" i="48" s="1"/>
  <c r="H35" i="22"/>
  <c r="I44" i="48" s="1"/>
  <c r="H51" i="22"/>
  <c r="AF26" i="33" s="1"/>
  <c r="H91" i="22"/>
  <c r="I121" i="48" s="1"/>
  <c r="H37" i="22"/>
  <c r="N26" i="33" s="1"/>
  <c r="H36" i="22"/>
  <c r="N21" i="33" s="1"/>
  <c r="H87" i="22"/>
  <c r="I115" i="48" s="1"/>
  <c r="MB127" i="47"/>
  <c r="KO4" i="47"/>
  <c r="KB127" i="47"/>
  <c r="IO4" i="47"/>
  <c r="IB127" i="47"/>
  <c r="GO4" i="47"/>
  <c r="GB127" i="47"/>
  <c r="EO4" i="47"/>
  <c r="EB127" i="47"/>
  <c r="CO4" i="47"/>
  <c r="CB127" i="47"/>
  <c r="AO4" i="47"/>
  <c r="AB127" i="47"/>
  <c r="MB4" i="47"/>
  <c r="LO127" i="47"/>
  <c r="KB4" i="47"/>
  <c r="JO127" i="47"/>
  <c r="IB4" i="47"/>
  <c r="HO127" i="47"/>
  <c r="GB4" i="47"/>
  <c r="FO127" i="47"/>
  <c r="EB4" i="47"/>
  <c r="DO127" i="47"/>
  <c r="CB4" i="47"/>
  <c r="BO127" i="47"/>
  <c r="LO4" i="47"/>
  <c r="LB127" i="47"/>
  <c r="JO4" i="47"/>
  <c r="JB127" i="47"/>
  <c r="HO4" i="47"/>
  <c r="HB127" i="47"/>
  <c r="FO4" i="47"/>
  <c r="FB127" i="47"/>
  <c r="DO4" i="47"/>
  <c r="DB127" i="47"/>
  <c r="BO4" i="47"/>
  <c r="BB127" i="47"/>
  <c r="LB4" i="47"/>
  <c r="KO127" i="47"/>
  <c r="JB4" i="47"/>
  <c r="IO127" i="47"/>
  <c r="HB4" i="47"/>
  <c r="GO127" i="47"/>
  <c r="FB4" i="47"/>
  <c r="EO127" i="47"/>
  <c r="DB4" i="47"/>
  <c r="CO127" i="47"/>
  <c r="BB4" i="47"/>
  <c r="AO127" i="47"/>
  <c r="FB129" i="28"/>
  <c r="HO129" i="28"/>
  <c r="IB129" i="28"/>
  <c r="FB4" i="28"/>
  <c r="CO129" i="28"/>
  <c r="CO4" i="28"/>
  <c r="B125" i="28"/>
  <c r="HI123" i="28" s="1"/>
  <c r="LB4" i="28"/>
  <c r="DO129" i="28"/>
  <c r="EB129" i="28"/>
  <c r="IO129" i="28"/>
  <c r="BO4" i="28"/>
  <c r="AO4" i="28"/>
  <c r="LB129" i="28"/>
  <c r="HB4" i="28"/>
  <c r="MB4" i="28"/>
  <c r="EO4" i="28"/>
  <c r="JO4" i="28"/>
  <c r="AO129" i="28"/>
  <c r="BO129" i="28"/>
  <c r="HB129" i="28"/>
  <c r="LO4" i="28"/>
  <c r="KB129" i="28"/>
  <c r="JB4" i="28"/>
  <c r="FO4" i="28"/>
  <c r="CB4" i="28"/>
  <c r="O127" i="47"/>
  <c r="JO129" i="28"/>
  <c r="AB4" i="47"/>
  <c r="DO4" i="28"/>
  <c r="KO4" i="28"/>
  <c r="EB4" i="28"/>
  <c r="EO129" i="28"/>
  <c r="BB4" i="28"/>
  <c r="IO4" i="28"/>
  <c r="AB4" i="28"/>
  <c r="LO129" i="28"/>
  <c r="KO129" i="28"/>
  <c r="B125" i="47"/>
  <c r="I125" i="47" s="1"/>
  <c r="FO129" i="28"/>
  <c r="GB4" i="28"/>
  <c r="IB4" i="28"/>
  <c r="DB4" i="28"/>
  <c r="GB129" i="28"/>
  <c r="AB129" i="28"/>
  <c r="CB129" i="28"/>
  <c r="O4" i="47"/>
  <c r="GO4" i="28"/>
  <c r="GO129" i="28"/>
  <c r="O4" i="28"/>
  <c r="DB129" i="28"/>
  <c r="KB4" i="28"/>
  <c r="O129" i="28"/>
  <c r="HO4" i="28"/>
  <c r="MB129" i="28"/>
  <c r="BB129" i="28"/>
  <c r="JB129" i="28"/>
  <c r="H108" i="22"/>
  <c r="I145"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KD4" i="47"/>
  <c r="DQ127" i="47"/>
  <c r="LD127" i="47"/>
  <c r="DQ4" i="47"/>
  <c r="LD4" i="47"/>
  <c r="GQ127" i="47"/>
  <c r="DD4" i="47"/>
  <c r="KQ4" i="47"/>
  <c r="ID127" i="47"/>
  <c r="CQ4" i="47"/>
  <c r="AD127" i="47"/>
  <c r="JD129" i="28"/>
  <c r="HQ4" i="28"/>
  <c r="AQ4" i="28"/>
  <c r="FQ4" i="28"/>
  <c r="KQ129" i="28"/>
  <c r="IQ4" i="28"/>
  <c r="KD4" i="28"/>
  <c r="HQ129" i="28"/>
  <c r="FQ129" i="28"/>
  <c r="AD129" i="28"/>
  <c r="KD129" i="28"/>
  <c r="Q4" i="47"/>
  <c r="HD129" i="28"/>
  <c r="D3" i="32"/>
  <c r="AC52" i="33"/>
  <c r="N52" i="33"/>
  <c r="Q62" i="33"/>
  <c r="H62" i="33"/>
  <c r="AL52" i="33"/>
  <c r="W52" i="33"/>
  <c r="I72" i="33"/>
  <c r="K62" i="33"/>
  <c r="Z52" i="33"/>
  <c r="B62" i="33"/>
  <c r="F82" i="33"/>
  <c r="AO52" i="33"/>
  <c r="K52" i="33"/>
  <c r="N62" i="33"/>
  <c r="AR52" i="33"/>
  <c r="AI52" i="33"/>
  <c r="L90" i="33"/>
  <c r="AF52" i="33"/>
  <c r="T62" i="33"/>
  <c r="H52" i="33"/>
  <c r="W62" i="33"/>
  <c r="E52" i="33"/>
  <c r="O72" i="33"/>
  <c r="T52" i="33"/>
  <c r="R82" i="33"/>
  <c r="Q52" i="33"/>
  <c r="L100" i="33"/>
  <c r="AU52" i="33"/>
  <c r="U72" i="33"/>
  <c r="B52" i="33"/>
  <c r="E62" i="33"/>
  <c r="C72" i="33"/>
  <c r="I7" i="44"/>
  <c r="J7" i="44"/>
  <c r="D7" i="44"/>
  <c r="G7" i="44"/>
  <c r="B123" i="47"/>
  <c r="EV123" i="47" s="1"/>
  <c r="B133" i="47"/>
  <c r="B135" i="28"/>
  <c r="I2" i="33"/>
  <c r="AJ2" i="33"/>
  <c r="AY129" i="47"/>
  <c r="Y129" i="47"/>
  <c r="HY129" i="47"/>
  <c r="GY129" i="47"/>
  <c r="HL129" i="47"/>
  <c r="LL129" i="47"/>
  <c r="JY129" i="47"/>
  <c r="GL129" i="47"/>
  <c r="CY131" i="28"/>
  <c r="HL131" i="28"/>
  <c r="IL129" i="47"/>
  <c r="KL129" i="47"/>
  <c r="GL131" i="28"/>
  <c r="CL129" i="47"/>
  <c r="LY129" i="47"/>
  <c r="EY129" i="47"/>
  <c r="DL129" i="47"/>
  <c r="JL129" i="47"/>
  <c r="DY131" i="28"/>
  <c r="L131" i="28"/>
  <c r="FY131" i="28"/>
  <c r="KY131" i="28"/>
  <c r="KL131" i="28"/>
  <c r="EY131" i="28"/>
  <c r="CL131" i="28"/>
  <c r="GY131" i="28"/>
  <c r="CL130" i="47"/>
  <c r="AL130" i="47"/>
  <c r="FL130" i="47"/>
  <c r="KY130" i="47"/>
  <c r="KY132" i="28"/>
  <c r="FL132" i="28"/>
  <c r="DL132" i="28"/>
  <c r="JL132" i="28"/>
  <c r="H81" i="22"/>
  <c r="I106" i="48" s="1"/>
  <c r="H44" i="22"/>
  <c r="Z26" i="33" s="1"/>
  <c r="HL130" i="28"/>
  <c r="IL128" i="47"/>
  <c r="CY130" i="28"/>
  <c r="DY128" i="47"/>
  <c r="LL128" i="47"/>
  <c r="L128" i="47"/>
  <c r="GY128" i="47"/>
  <c r="FL130" i="28"/>
  <c r="IY130" i="28"/>
  <c r="JY128" i="47"/>
  <c r="AL130" i="28"/>
  <c r="BL128" i="47"/>
  <c r="IY128" i="47"/>
  <c r="I46" i="48"/>
  <c r="FV123" i="28"/>
  <c r="I82" i="28"/>
  <c r="FI123" i="47"/>
  <c r="I54" i="28"/>
  <c r="I19" i="28"/>
  <c r="I47" i="28"/>
  <c r="W36" i="33"/>
  <c r="I5" i="28"/>
  <c r="I65" i="48"/>
  <c r="MC91" i="47"/>
  <c r="MD91" i="47" s="1"/>
  <c r="ME91" i="47" s="1"/>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AP99" i="47"/>
  <c r="KC100" i="47"/>
  <c r="KD100" i="47" s="1"/>
  <c r="KE100" i="47" s="1"/>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KC93" i="47"/>
  <c r="KF93" i="47" s="1"/>
  <c r="EC93" i="47"/>
  <c r="ED93" i="47" s="1"/>
  <c r="EE93" i="47"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MC93" i="47" l="1"/>
  <c r="MF93" i="47" s="1"/>
  <c r="AC99" i="47"/>
  <c r="AF99" i="47" s="1"/>
  <c r="LC105" i="47"/>
  <c r="AP93" i="47"/>
  <c r="AS93" i="47" s="1"/>
  <c r="GP93" i="47"/>
  <c r="GQ93" i="47" s="1"/>
  <c r="GR93" i="47" s="1"/>
  <c r="JP101" i="47"/>
  <c r="JQ101" i="47" s="1"/>
  <c r="JR101" i="47" s="1"/>
  <c r="BC93" i="47"/>
  <c r="BF93" i="47" s="1"/>
  <c r="HC93" i="47"/>
  <c r="HD93" i="47" s="1"/>
  <c r="HE93" i="47" s="1"/>
  <c r="BP93" i="47"/>
  <c r="HP93" i="47"/>
  <c r="HS93" i="47" s="1"/>
  <c r="CC93" i="47"/>
  <c r="CD93" i="47" s="1"/>
  <c r="CE93" i="47" s="1"/>
  <c r="IC93" i="47"/>
  <c r="IF93" i="47" s="1"/>
  <c r="CP93" i="47"/>
  <c r="CS93" i="47" s="1"/>
  <c r="IP93" i="47"/>
  <c r="IQ93" i="47" s="1"/>
  <c r="IR93" i="47" s="1"/>
  <c r="BC105" i="47"/>
  <c r="BD105" i="47" s="1"/>
  <c r="BE105" i="47" s="1"/>
  <c r="DC93" i="47"/>
  <c r="DD93" i="47" s="1"/>
  <c r="DE93" i="47" s="1"/>
  <c r="JC93" i="47"/>
  <c r="JD93" i="47" s="1"/>
  <c r="JE93" i="47" s="1"/>
  <c r="AC105" i="47"/>
  <c r="AF105" i="47" s="1"/>
  <c r="HC105" i="47"/>
  <c r="HF105" i="47" s="1"/>
  <c r="DP93" i="47"/>
  <c r="DS93" i="47" s="1"/>
  <c r="JP93" i="47"/>
  <c r="P99" i="47"/>
  <c r="Q99" i="47" s="1"/>
  <c r="R99" i="47" s="1"/>
  <c r="EP93" i="47"/>
  <c r="EQ93" i="47" s="1"/>
  <c r="ER93" i="47" s="1"/>
  <c r="KP93" i="47"/>
  <c r="KQ93" i="47" s="1"/>
  <c r="KR93" i="47" s="1"/>
  <c r="EC99" i="47"/>
  <c r="ED99" i="47" s="1"/>
  <c r="EE99" i="47" s="1"/>
  <c r="FC93" i="47"/>
  <c r="FD93" i="47" s="1"/>
  <c r="FE93" i="47" s="1"/>
  <c r="LC93" i="47"/>
  <c r="LD93" i="47" s="1"/>
  <c r="LE93" i="47" s="1"/>
  <c r="KP99" i="47"/>
  <c r="KQ99" i="47" s="1"/>
  <c r="KR99" i="47" s="1"/>
  <c r="P93" i="47"/>
  <c r="S93" i="47" s="1"/>
  <c r="FP93" i="47"/>
  <c r="FQ93" i="47" s="1"/>
  <c r="FR93" i="47" s="1"/>
  <c r="LP93" i="47"/>
  <c r="LS93" i="47" s="1"/>
  <c r="AC93" i="47"/>
  <c r="AD93" i="47" s="1"/>
  <c r="AE93" i="47" s="1"/>
  <c r="GC93" i="47"/>
  <c r="GD93" i="47" s="1"/>
  <c r="GE93" i="47" s="1"/>
  <c r="IB128" i="28"/>
  <c r="FP99" i="47"/>
  <c r="FQ99" i="47" s="1"/>
  <c r="FR99" i="47" s="1"/>
  <c r="EP99" i="47"/>
  <c r="EQ99" i="47" s="1"/>
  <c r="ER99" i="47" s="1"/>
  <c r="BP105" i="47"/>
  <c r="BQ105" i="47" s="1"/>
  <c r="BR105" i="47" s="1"/>
  <c r="HP105" i="47"/>
  <c r="HC99" i="47"/>
  <c r="HF99" i="47" s="1"/>
  <c r="BC99" i="47"/>
  <c r="EC105" i="47"/>
  <c r="KC105" i="47"/>
  <c r="JP99" i="47"/>
  <c r="KC99" i="47"/>
  <c r="AP105" i="47"/>
  <c r="AQ105" i="47" s="1"/>
  <c r="AR105" i="47" s="1"/>
  <c r="GP105" i="47"/>
  <c r="GQ105" i="47" s="1"/>
  <c r="GR105" i="47" s="1"/>
  <c r="LC99" i="47"/>
  <c r="LF99" i="47" s="1"/>
  <c r="GP99" i="47"/>
  <c r="GQ99" i="47" s="1"/>
  <c r="GR99" i="47" s="1"/>
  <c r="DC105" i="47"/>
  <c r="DD105" i="47" s="1"/>
  <c r="DE105" i="47" s="1"/>
  <c r="JC105" i="47"/>
  <c r="JD105" i="47" s="1"/>
  <c r="JE105" i="47" s="1"/>
  <c r="MC99" i="47"/>
  <c r="MF99" i="47" s="1"/>
  <c r="HP99" i="47"/>
  <c r="HQ99" i="47" s="1"/>
  <c r="HR99" i="47" s="1"/>
  <c r="FP105" i="47"/>
  <c r="LP105" i="47"/>
  <c r="LQ105" i="47" s="1"/>
  <c r="LR105" i="47" s="1"/>
  <c r="CC99" i="47"/>
  <c r="CD99" i="47" s="1"/>
  <c r="CE99" i="47" s="1"/>
  <c r="IP99" i="47"/>
  <c r="IQ99" i="47" s="1"/>
  <c r="IR99" i="47" s="1"/>
  <c r="CC105" i="47"/>
  <c r="CD105" i="47" s="1"/>
  <c r="CE105" i="47" s="1"/>
  <c r="IC105" i="47"/>
  <c r="EP105" i="47"/>
  <c r="ES105" i="47" s="1"/>
  <c r="KP105" i="47"/>
  <c r="KS105" i="47" s="1"/>
  <c r="IC99" i="47"/>
  <c r="ID99" i="47" s="1"/>
  <c r="IE99" i="47" s="1"/>
  <c r="GC99" i="47"/>
  <c r="GF99" i="47" s="1"/>
  <c r="FC99" i="47"/>
  <c r="FF99" i="47" s="1"/>
  <c r="P105" i="47"/>
  <c r="S105" i="47" s="1"/>
  <c r="DP105" i="47"/>
  <c r="DS105" i="47" s="1"/>
  <c r="JP105" i="47"/>
  <c r="JS105" i="47" s="1"/>
  <c r="JC99" i="47"/>
  <c r="JD99" i="47" s="1"/>
  <c r="JE99" i="47" s="1"/>
  <c r="CP99" i="47"/>
  <c r="CS99" i="47" s="1"/>
  <c r="GC105" i="47"/>
  <c r="GF105" i="47" s="1"/>
  <c r="MC105" i="47"/>
  <c r="MD105" i="47" s="1"/>
  <c r="ME105" i="47" s="1"/>
  <c r="BP99" i="47"/>
  <c r="DP99" i="47"/>
  <c r="DS99" i="47" s="1"/>
  <c r="LP99" i="47"/>
  <c r="CP105" i="47"/>
  <c r="CS105" i="47" s="1"/>
  <c r="IP105" i="47"/>
  <c r="IS105" i="47" s="1"/>
  <c r="DC99" i="47"/>
  <c r="DD99" i="47" s="1"/>
  <c r="DE99" i="47" s="1"/>
  <c r="FC105" i="47"/>
  <c r="FD105" i="47" s="1"/>
  <c r="FE105" i="47" s="1"/>
  <c r="EP95" i="47"/>
  <c r="CP95" i="47"/>
  <c r="CQ95" i="47" s="1"/>
  <c r="CR95" i="47" s="1"/>
  <c r="FC101" i="47"/>
  <c r="FD101" i="47" s="1"/>
  <c r="FE101" i="47" s="1"/>
  <c r="EO128" i="28"/>
  <c r="BP101" i="47"/>
  <c r="BS101" i="47" s="1"/>
  <c r="DO128" i="28"/>
  <c r="JC101" i="47"/>
  <c r="JD101" i="47" s="1"/>
  <c r="JE101" i="47" s="1"/>
  <c r="DC101" i="47"/>
  <c r="DF101" i="47" s="1"/>
  <c r="IP95" i="47"/>
  <c r="IQ95" i="47" s="1"/>
  <c r="IR95" i="47" s="1"/>
  <c r="GP95" i="47"/>
  <c r="GQ95" i="47" s="1"/>
  <c r="GR95" i="47" s="1"/>
  <c r="FB128" i="28"/>
  <c r="GO128" i="28"/>
  <c r="P101" i="47"/>
  <c r="Q101" i="47" s="1"/>
  <c r="R101" i="47" s="1"/>
  <c r="HC101" i="47"/>
  <c r="HD101" i="47" s="1"/>
  <c r="HE101" i="47" s="1"/>
  <c r="AC95" i="47"/>
  <c r="AF95" i="47" s="1"/>
  <c r="KP95" i="47"/>
  <c r="KS95" i="47" s="1"/>
  <c r="IO128" i="28"/>
  <c r="KO128" i="28"/>
  <c r="AP101" i="47"/>
  <c r="AQ101" i="47" s="1"/>
  <c r="AR101" i="47" s="1"/>
  <c r="LC101" i="47"/>
  <c r="LD101" i="47" s="1"/>
  <c r="LE101" i="47" s="1"/>
  <c r="BC95" i="47"/>
  <c r="BF95" i="47" s="1"/>
  <c r="DC95" i="47"/>
  <c r="DD95" i="47" s="1"/>
  <c r="DE95" i="47" s="1"/>
  <c r="JB128" i="28"/>
  <c r="FP101" i="47"/>
  <c r="FS101" i="47" s="1"/>
  <c r="IC101" i="47"/>
  <c r="ID101" i="47" s="1"/>
  <c r="IE101" i="47" s="1"/>
  <c r="DP95" i="47"/>
  <c r="FC95" i="47"/>
  <c r="FF95" i="47" s="1"/>
  <c r="HC95" i="47"/>
  <c r="HD95" i="47" s="1"/>
  <c r="HE95" i="47" s="1"/>
  <c r="MB128" i="28"/>
  <c r="EB128" i="28"/>
  <c r="CC101" i="47"/>
  <c r="CF101" i="47" s="1"/>
  <c r="MC101" i="47"/>
  <c r="HP95" i="47"/>
  <c r="HS95" i="47" s="1"/>
  <c r="JC95" i="47"/>
  <c r="JD95" i="47" s="1"/>
  <c r="JE95" i="47" s="1"/>
  <c r="LC95" i="47"/>
  <c r="LF95" i="47" s="1"/>
  <c r="HB128" i="28"/>
  <c r="DB128" i="28"/>
  <c r="GC101" i="47"/>
  <c r="GD101" i="47" s="1"/>
  <c r="GE101" i="47" s="1"/>
  <c r="DP101" i="47"/>
  <c r="DQ101" i="47" s="1"/>
  <c r="DR101" i="47" s="1"/>
  <c r="LP95" i="47"/>
  <c r="LQ95" i="47" s="1"/>
  <c r="LR95" i="47" s="1"/>
  <c r="BP95" i="47"/>
  <c r="BQ95" i="47" s="1"/>
  <c r="BR95" i="47" s="1"/>
  <c r="LB128" i="28"/>
  <c r="BB128" i="28"/>
  <c r="EP101" i="47"/>
  <c r="ES101" i="47" s="1"/>
  <c r="KC101" i="47"/>
  <c r="KF101" i="47" s="1"/>
  <c r="HP101" i="47"/>
  <c r="HS101" i="47" s="1"/>
  <c r="P95" i="47"/>
  <c r="S95" i="47" s="1"/>
  <c r="FP95" i="47"/>
  <c r="FS95" i="47" s="1"/>
  <c r="O128" i="28"/>
  <c r="AB128" i="28"/>
  <c r="IP101" i="47"/>
  <c r="IQ101" i="47" s="1"/>
  <c r="IR101" i="47" s="1"/>
  <c r="CP101" i="47"/>
  <c r="CQ101" i="47" s="1"/>
  <c r="CR101" i="47" s="1"/>
  <c r="LP101" i="47"/>
  <c r="LS101" i="47" s="1"/>
  <c r="EC95" i="47"/>
  <c r="ED95" i="47" s="1"/>
  <c r="EE95" i="47" s="1"/>
  <c r="JP95" i="47"/>
  <c r="JS95" i="47" s="1"/>
  <c r="BO128" i="28"/>
  <c r="LO128" i="28"/>
  <c r="AC101" i="47"/>
  <c r="AF101" i="47" s="1"/>
  <c r="GP101" i="47"/>
  <c r="GS101" i="47" s="1"/>
  <c r="IC95" i="47"/>
  <c r="IF95" i="47" s="1"/>
  <c r="CC95" i="47"/>
  <c r="CD95" i="47" s="1"/>
  <c r="CE95" i="47" s="1"/>
  <c r="CB128" i="28"/>
  <c r="KB128" i="28"/>
  <c r="HO128" i="28"/>
  <c r="EC101" i="47"/>
  <c r="EF101" i="47" s="1"/>
  <c r="KP101" i="47"/>
  <c r="KS101" i="47" s="1"/>
  <c r="MC95" i="47"/>
  <c r="MF95" i="47" s="1"/>
  <c r="GC95" i="47"/>
  <c r="GD95" i="47" s="1"/>
  <c r="GE95" i="47" s="1"/>
  <c r="AO128" i="28"/>
  <c r="GB128" i="28"/>
  <c r="JO128" i="28"/>
  <c r="BC101" i="47"/>
  <c r="BF101" i="47" s="1"/>
  <c r="AP95" i="47"/>
  <c r="AQ95" i="47" s="1"/>
  <c r="AR95" i="47" s="1"/>
  <c r="FO128" i="28"/>
  <c r="LC90" i="47"/>
  <c r="LF90" i="47" s="1"/>
  <c r="P96" i="47"/>
  <c r="S96" i="47" s="1"/>
  <c r="KP102" i="47"/>
  <c r="KS102" i="47" s="1"/>
  <c r="G78" i="47"/>
  <c r="MB124" i="47"/>
  <c r="MF124" i="47" s="1"/>
  <c r="IQ100" i="47"/>
  <c r="IR100" i="47" s="1"/>
  <c r="AO124" i="47"/>
  <c r="AS124" i="47" s="1"/>
  <c r="GO124" i="47"/>
  <c r="GS124" i="47" s="1"/>
  <c r="BB124" i="47"/>
  <c r="BD124" i="47" s="1"/>
  <c r="BE124" i="47" s="1"/>
  <c r="HB124" i="47"/>
  <c r="HF124" i="47" s="1"/>
  <c r="BO124" i="47"/>
  <c r="BS124" i="47" s="1"/>
  <c r="HO124" i="47"/>
  <c r="HQ124" i="47" s="1"/>
  <c r="HR124" i="47" s="1"/>
  <c r="AB124" i="47"/>
  <c r="AD124" i="47" s="1"/>
  <c r="AE124" i="47" s="1"/>
  <c r="CB124" i="47"/>
  <c r="CD124" i="47" s="1"/>
  <c r="CE124" i="47" s="1"/>
  <c r="IB124" i="47"/>
  <c r="ID124" i="47" s="1"/>
  <c r="IE124" i="47" s="1"/>
  <c r="CO124" i="47"/>
  <c r="CS124" i="47" s="1"/>
  <c r="IO124" i="47"/>
  <c r="IS124" i="47" s="1"/>
  <c r="O124" i="47"/>
  <c r="Q124" i="47" s="1"/>
  <c r="R124" i="47" s="1"/>
  <c r="DB124" i="47"/>
  <c r="DF124" i="47" s="1"/>
  <c r="JB124" i="47"/>
  <c r="JB128" i="47" s="1"/>
  <c r="JB129" i="47" s="1"/>
  <c r="DO124" i="47"/>
  <c r="DQ124" i="47" s="1"/>
  <c r="DR124" i="47" s="1"/>
  <c r="JO124" i="47"/>
  <c r="JQ124" i="47" s="1"/>
  <c r="JR124" i="47" s="1"/>
  <c r="EB124" i="47"/>
  <c r="EF124" i="47" s="1"/>
  <c r="KB124" i="47"/>
  <c r="KF124" i="47" s="1"/>
  <c r="EO124" i="47"/>
  <c r="ES124" i="47" s="1"/>
  <c r="KO124" i="47"/>
  <c r="KS124" i="47" s="1"/>
  <c r="FB124" i="47"/>
  <c r="FF124" i="47" s="1"/>
  <c r="LB124" i="47"/>
  <c r="LD124" i="47" s="1"/>
  <c r="LE124" i="47" s="1"/>
  <c r="FO124" i="47"/>
  <c r="FS124" i="47" s="1"/>
  <c r="LO124" i="47"/>
  <c r="LQ124" i="47" s="1"/>
  <c r="LR124" i="47" s="1"/>
  <c r="GB124" i="47"/>
  <c r="GB128" i="47" s="1"/>
  <c r="GB129" i="47" s="1"/>
  <c r="DC102" i="47"/>
  <c r="DD102" i="47" s="1"/>
  <c r="DE102" i="47" s="1"/>
  <c r="JC102" i="47"/>
  <c r="JF102" i="47" s="1"/>
  <c r="AC102" i="47"/>
  <c r="AD102" i="47" s="1"/>
  <c r="AE102" i="47" s="1"/>
  <c r="EC102" i="47"/>
  <c r="EF102" i="47" s="1"/>
  <c r="HC102" i="47"/>
  <c r="HF102" i="47" s="1"/>
  <c r="IC102" i="47"/>
  <c r="IF102" i="47" s="1"/>
  <c r="BP102" i="47"/>
  <c r="BS102" i="47" s="1"/>
  <c r="LC102" i="47"/>
  <c r="LF102" i="47" s="1"/>
  <c r="P102" i="47"/>
  <c r="FP102" i="47"/>
  <c r="FS102" i="47" s="1"/>
  <c r="DP102" i="47"/>
  <c r="DQ102" i="47" s="1"/>
  <c r="DR102" i="47" s="1"/>
  <c r="JP102" i="47"/>
  <c r="JS102" i="47" s="1"/>
  <c r="HP102" i="47"/>
  <c r="HS102" i="47" s="1"/>
  <c r="MC102" i="47"/>
  <c r="MF102" i="47" s="1"/>
  <c r="LP102" i="47"/>
  <c r="LS102" i="47" s="1"/>
  <c r="CC102" i="47"/>
  <c r="CF102" i="47" s="1"/>
  <c r="AP102" i="47"/>
  <c r="AS102" i="47" s="1"/>
  <c r="GC102" i="47"/>
  <c r="EP102" i="47"/>
  <c r="EQ102" i="47" s="1"/>
  <c r="ER102" i="47" s="1"/>
  <c r="KC102" i="47"/>
  <c r="KD102" i="47" s="1"/>
  <c r="KE102" i="47" s="1"/>
  <c r="IP102" i="47"/>
  <c r="IQ102" i="47" s="1"/>
  <c r="IR102" i="47" s="1"/>
  <c r="CP102" i="47"/>
  <c r="CQ102" i="47" s="1"/>
  <c r="CR102" i="47" s="1"/>
  <c r="BC102" i="47"/>
  <c r="BF102" i="47" s="1"/>
  <c r="GP102" i="47"/>
  <c r="GS102" i="47" s="1"/>
  <c r="FC102" i="47"/>
  <c r="FF102" i="47" s="1"/>
  <c r="AP96" i="47"/>
  <c r="AQ96" i="47" s="1"/>
  <c r="AR96" i="47" s="1"/>
  <c r="BP96" i="47"/>
  <c r="BS96" i="47" s="1"/>
  <c r="CP96" i="47"/>
  <c r="CQ96" i="47" s="1"/>
  <c r="CR96" i="47" s="1"/>
  <c r="DP96" i="47"/>
  <c r="DS96" i="47" s="1"/>
  <c r="EP96" i="47"/>
  <c r="EQ96" i="47" s="1"/>
  <c r="ER96" i="47" s="1"/>
  <c r="FP96" i="47"/>
  <c r="FQ96" i="47" s="1"/>
  <c r="FR96" i="47" s="1"/>
  <c r="GP96" i="47"/>
  <c r="GQ96" i="47" s="1"/>
  <c r="GR96" i="47" s="1"/>
  <c r="HP96" i="47"/>
  <c r="HS96" i="47" s="1"/>
  <c r="IP96" i="47"/>
  <c r="IQ96" i="47" s="1"/>
  <c r="IR96" i="47" s="1"/>
  <c r="JP96" i="47"/>
  <c r="KP96" i="47"/>
  <c r="KQ96" i="47" s="1"/>
  <c r="KR96" i="47" s="1"/>
  <c r="LP96" i="47"/>
  <c r="LS96" i="47" s="1"/>
  <c r="BC96" i="47"/>
  <c r="BD96" i="47" s="1"/>
  <c r="BE96" i="47" s="1"/>
  <c r="CC96" i="47"/>
  <c r="CD96" i="47" s="1"/>
  <c r="CE96" i="47" s="1"/>
  <c r="DC96" i="47"/>
  <c r="DD96" i="47" s="1"/>
  <c r="DE96" i="47" s="1"/>
  <c r="EC96" i="47"/>
  <c r="ED96" i="47" s="1"/>
  <c r="EE96" i="47" s="1"/>
  <c r="FC96" i="47"/>
  <c r="FF96" i="47" s="1"/>
  <c r="GC96" i="47"/>
  <c r="GD96" i="47" s="1"/>
  <c r="GE96" i="47" s="1"/>
  <c r="HC96" i="47"/>
  <c r="HD96" i="47" s="1"/>
  <c r="HE96" i="47" s="1"/>
  <c r="IC96" i="47"/>
  <c r="IF96" i="47" s="1"/>
  <c r="JC96" i="47"/>
  <c r="JF96" i="47" s="1"/>
  <c r="KC96" i="47"/>
  <c r="LC96" i="47"/>
  <c r="LD96" i="47" s="1"/>
  <c r="LE96" i="47" s="1"/>
  <c r="MC96" i="47"/>
  <c r="MF96" i="47" s="1"/>
  <c r="AC96" i="47"/>
  <c r="AF96" i="47" s="1"/>
  <c r="FP90" i="47"/>
  <c r="FS90" i="47" s="1"/>
  <c r="IC90" i="47"/>
  <c r="ID90" i="47" s="1"/>
  <c r="IE90" i="47" s="1"/>
  <c r="JP90" i="47"/>
  <c r="JS90" i="47" s="1"/>
  <c r="HP90" i="47"/>
  <c r="HS90" i="47" s="1"/>
  <c r="DP90" i="47"/>
  <c r="DS90" i="47" s="1"/>
  <c r="AP90" i="47"/>
  <c r="AQ90" i="47" s="1"/>
  <c r="AR90" i="47" s="1"/>
  <c r="CP90" i="47"/>
  <c r="CS90" i="47" s="1"/>
  <c r="EP90" i="47"/>
  <c r="ES90" i="47" s="1"/>
  <c r="GP90" i="47"/>
  <c r="GQ90" i="47" s="1"/>
  <c r="GR90" i="47" s="1"/>
  <c r="IP90" i="47"/>
  <c r="IS90" i="47" s="1"/>
  <c r="P90" i="47"/>
  <c r="S90" i="47" s="1"/>
  <c r="CC90" i="47"/>
  <c r="CD90" i="47" s="1"/>
  <c r="CE90" i="47" s="1"/>
  <c r="FC90" i="47"/>
  <c r="FD90" i="47" s="1"/>
  <c r="FE90" i="47" s="1"/>
  <c r="LP90" i="47"/>
  <c r="LQ90" i="47" s="1"/>
  <c r="LR90" i="47" s="1"/>
  <c r="GC90" i="47"/>
  <c r="GD90" i="47" s="1"/>
  <c r="GE90" i="47" s="1"/>
  <c r="JC90" i="47"/>
  <c r="JD90" i="47" s="1"/>
  <c r="JE90" i="47" s="1"/>
  <c r="AC90" i="47"/>
  <c r="AD90" i="47" s="1"/>
  <c r="AE90" i="47" s="1"/>
  <c r="KC90" i="47"/>
  <c r="KF90" i="47" s="1"/>
  <c r="BC90" i="47"/>
  <c r="BF90" i="47" s="1"/>
  <c r="EC90" i="47"/>
  <c r="ED90" i="47" s="1"/>
  <c r="EE90" i="47" s="1"/>
  <c r="DC90" i="47"/>
  <c r="DD90" i="47" s="1"/>
  <c r="DE90" i="47" s="1"/>
  <c r="KP90" i="47"/>
  <c r="KQ90" i="47" s="1"/>
  <c r="KR90" i="47" s="1"/>
  <c r="MC90" i="47"/>
  <c r="MF90" i="47" s="1"/>
  <c r="HC90" i="47"/>
  <c r="HD90" i="47" s="1"/>
  <c r="HE90" i="47" s="1"/>
  <c r="BP90" i="47"/>
  <c r="BQ90" i="47" s="1"/>
  <c r="BR90" i="47" s="1"/>
  <c r="E36" i="33"/>
  <c r="T16" i="33"/>
  <c r="B106" i="47"/>
  <c r="AY130" i="47"/>
  <c r="B89" i="28"/>
  <c r="I89" i="28" s="1"/>
  <c r="H65" i="22"/>
  <c r="I85" i="48" s="1"/>
  <c r="GT129" i="28"/>
  <c r="C103" i="48"/>
  <c r="I60" i="48"/>
  <c r="CY130" i="47"/>
  <c r="DG129" i="28"/>
  <c r="B121" i="48"/>
  <c r="Q13" i="73"/>
  <c r="DV123" i="47"/>
  <c r="B1" i="47"/>
  <c r="AA21" i="73"/>
  <c r="BI123" i="47"/>
  <c r="K31" i="33"/>
  <c r="CY132" i="28"/>
  <c r="Y130" i="47"/>
  <c r="H21" i="22"/>
  <c r="Z16" i="33" s="1"/>
  <c r="MG4" i="47"/>
  <c r="AM29" i="73"/>
  <c r="IV123" i="28"/>
  <c r="KV123" i="47"/>
  <c r="AY132" i="28"/>
  <c r="BY130" i="47"/>
  <c r="B115" i="47"/>
  <c r="DV115" i="47" s="1"/>
  <c r="H64" i="22"/>
  <c r="HG127" i="47"/>
  <c r="ES127" i="47"/>
  <c r="LV123" i="47"/>
  <c r="K11" i="33"/>
  <c r="V123" i="47"/>
  <c r="IL132" i="28"/>
  <c r="H111" i="22"/>
  <c r="L86" i="33" s="1"/>
  <c r="EI123" i="47"/>
  <c r="CL132" i="28"/>
  <c r="H16" i="22"/>
  <c r="W16" i="33" s="1"/>
  <c r="E81" i="18"/>
  <c r="H36" i="33"/>
  <c r="I68" i="48"/>
  <c r="HI115" i="28"/>
  <c r="KI115" i="28"/>
  <c r="GV115" i="28"/>
  <c r="V115" i="28"/>
  <c r="I115" i="28"/>
  <c r="CI125" i="28"/>
  <c r="KV125" i="28"/>
  <c r="FI125" i="28"/>
  <c r="AI125" i="28"/>
  <c r="HV125" i="28"/>
  <c r="LV125" i="28"/>
  <c r="IV125" i="28"/>
  <c r="DV125" i="28"/>
  <c r="N22" i="33"/>
  <c r="W37" i="33"/>
  <c r="AN29" i="73"/>
  <c r="I45" i="48"/>
  <c r="FV123" i="47"/>
  <c r="GL132" i="28"/>
  <c r="EY132" i="28"/>
  <c r="HY130" i="47"/>
  <c r="JL131" i="28"/>
  <c r="Y131" i="28"/>
  <c r="HY131" i="28"/>
  <c r="CY129" i="47"/>
  <c r="FY129" i="47"/>
  <c r="H4" i="22"/>
  <c r="B11" i="33" s="1"/>
  <c r="CZ4" i="28"/>
  <c r="LZ4" i="28"/>
  <c r="BM4" i="47"/>
  <c r="EM4" i="47"/>
  <c r="CP4" i="28"/>
  <c r="LP4" i="28"/>
  <c r="GC4" i="28"/>
  <c r="LP129" i="28"/>
  <c r="JC4" i="47"/>
  <c r="CC4" i="47"/>
  <c r="EP4" i="47"/>
  <c r="T129" i="28"/>
  <c r="GS4" i="28"/>
  <c r="C90" i="48"/>
  <c r="AI12" i="33"/>
  <c r="B34" i="48"/>
  <c r="AV47" i="28"/>
  <c r="C3" i="32"/>
  <c r="KI123" i="47"/>
  <c r="LY132" i="28"/>
  <c r="KL132" i="28"/>
  <c r="JY130" i="47"/>
  <c r="AY131" i="28"/>
  <c r="IL131" i="28"/>
  <c r="FL131" i="28"/>
  <c r="DY129" i="47"/>
  <c r="R4" i="28"/>
  <c r="H56" i="22"/>
  <c r="I74" i="48" s="1"/>
  <c r="H109" i="22"/>
  <c r="R78" i="33" s="1"/>
  <c r="Z4" i="28"/>
  <c r="FM4" i="28"/>
  <c r="FM4" i="47"/>
  <c r="GM4" i="47"/>
  <c r="KC4" i="28"/>
  <c r="FP4" i="28"/>
  <c r="EC4" i="28"/>
  <c r="GP4" i="28"/>
  <c r="LC4" i="47"/>
  <c r="EC4" i="47"/>
  <c r="GP4" i="47"/>
  <c r="FT129" i="28"/>
  <c r="FS127" i="47"/>
  <c r="C64" i="48"/>
  <c r="CI5" i="28"/>
  <c r="F61" i="73"/>
  <c r="AE129" i="28"/>
  <c r="H83" i="22"/>
  <c r="I109" i="48" s="1"/>
  <c r="H100" i="22"/>
  <c r="I134" i="48" s="1"/>
  <c r="BC127" i="47"/>
  <c r="FP127" i="47"/>
  <c r="IC127" i="47"/>
  <c r="C14" i="48"/>
  <c r="EI47" i="28"/>
  <c r="AA61" i="73"/>
  <c r="H28" i="22"/>
  <c r="AB85" i="73"/>
  <c r="BR4" i="47"/>
  <c r="II123" i="47"/>
  <c r="I22" i="48"/>
  <c r="Y132" i="28"/>
  <c r="GY130" i="47"/>
  <c r="EL130" i="47"/>
  <c r="IY131" i="28"/>
  <c r="LL131" i="28"/>
  <c r="FL129" i="47"/>
  <c r="AL129" i="47"/>
  <c r="AG2" i="33"/>
  <c r="H84" i="22"/>
  <c r="I110" i="48" s="1"/>
  <c r="EZ4" i="28"/>
  <c r="FZ4" i="28"/>
  <c r="LM4" i="47"/>
  <c r="AZ4" i="47"/>
  <c r="JP129" i="28"/>
  <c r="EP129" i="28"/>
  <c r="FC129" i="28"/>
  <c r="FP129" i="28"/>
  <c r="DP4" i="47"/>
  <c r="IC4" i="47"/>
  <c r="KP4" i="47"/>
  <c r="HG129" i="28"/>
  <c r="K5" i="44"/>
  <c r="B41" i="48"/>
  <c r="AI17" i="33"/>
  <c r="LI123" i="47"/>
  <c r="I38" i="48"/>
  <c r="LL132" i="28"/>
  <c r="IY130" i="47"/>
  <c r="KL130" i="47"/>
  <c r="KY129" i="47"/>
  <c r="DL131" i="28"/>
  <c r="AL131" i="28"/>
  <c r="BL129" i="47"/>
  <c r="AD2" i="33"/>
  <c r="H41" i="22"/>
  <c r="B1" i="32"/>
  <c r="JZ4" i="28"/>
  <c r="BZ4" i="28"/>
  <c r="BZ4" i="47"/>
  <c r="CZ4" i="47"/>
  <c r="P4" i="28"/>
  <c r="IC129" i="28"/>
  <c r="GP129" i="28"/>
  <c r="AP127" i="47"/>
  <c r="FC127" i="47"/>
  <c r="JP127" i="47"/>
  <c r="MC127" i="47"/>
  <c r="LG4" i="28"/>
  <c r="AF22" i="33"/>
  <c r="B141" i="28"/>
  <c r="C41" i="48"/>
  <c r="AV123" i="47"/>
  <c r="F78" i="33"/>
  <c r="HY132" i="28"/>
  <c r="HL130" i="47"/>
  <c r="H40" i="22"/>
  <c r="BY131" i="28"/>
  <c r="BL131" i="28"/>
  <c r="LY131" i="28"/>
  <c r="BY129" i="47"/>
  <c r="EV127" i="28"/>
  <c r="H6" i="22"/>
  <c r="E11" i="33" s="1"/>
  <c r="B132" i="47"/>
  <c r="AM4" i="28"/>
  <c r="M4" i="47"/>
  <c r="HZ4" i="47"/>
  <c r="IZ4" i="47"/>
  <c r="JC4" i="28"/>
  <c r="P127" i="47"/>
  <c r="DP4" i="28"/>
  <c r="EP127" i="47"/>
  <c r="JC127" i="47"/>
  <c r="AC127" i="47"/>
  <c r="KG127" i="47"/>
  <c r="B52" i="48"/>
  <c r="B131" i="48"/>
  <c r="F71" i="47"/>
  <c r="FP71" i="47" s="1"/>
  <c r="FS71" i="47" s="1"/>
  <c r="LI115" i="47"/>
  <c r="BV123" i="47"/>
  <c r="GY132" i="28"/>
  <c r="LL130" i="47"/>
  <c r="L129" i="47"/>
  <c r="JY131" i="28"/>
  <c r="EL131" i="28"/>
  <c r="IY129" i="47"/>
  <c r="H98" i="22"/>
  <c r="I131" i="48" s="1"/>
  <c r="H24" i="22"/>
  <c r="I28" i="48" s="1"/>
  <c r="JM4" i="28"/>
  <c r="IM4" i="28"/>
  <c r="AZ4" i="28"/>
  <c r="JZ4" i="47"/>
  <c r="KZ4" i="47"/>
  <c r="HP4" i="28"/>
  <c r="HC129" i="28"/>
  <c r="JC129" i="28"/>
  <c r="FC4" i="47"/>
  <c r="JP4" i="47"/>
  <c r="H80" i="22"/>
  <c r="I104" i="48" s="1"/>
  <c r="GT127" i="47"/>
  <c r="B16" i="48"/>
  <c r="B110" i="48"/>
  <c r="AL21" i="73"/>
  <c r="LV106" i="28"/>
  <c r="V106" i="28"/>
  <c r="BI106" i="28"/>
  <c r="CV106" i="28"/>
  <c r="DV106" i="28"/>
  <c r="HV106" i="28"/>
  <c r="JI106" i="28"/>
  <c r="GV106" i="47"/>
  <c r="IF4" i="28"/>
  <c r="DF4" i="28"/>
  <c r="AF127" i="47"/>
  <c r="DS4" i="47"/>
  <c r="AC5" i="73"/>
  <c r="AC21" i="73"/>
  <c r="AN45" i="73"/>
  <c r="AA85" i="73"/>
  <c r="HC13" i="47"/>
  <c r="HD13" i="47" s="1"/>
  <c r="DV89" i="28"/>
  <c r="KV106" i="47"/>
  <c r="EV89" i="28"/>
  <c r="IV115" i="28"/>
  <c r="Q22" i="33"/>
  <c r="JF129" i="28"/>
  <c r="HF129" i="28"/>
  <c r="AS4" i="47"/>
  <c r="HS4" i="47"/>
  <c r="HI106" i="47"/>
  <c r="GV89" i="28"/>
  <c r="FV115" i="28"/>
  <c r="EL130" i="28"/>
  <c r="CL130" i="28"/>
  <c r="H20" i="22"/>
  <c r="I25" i="48" s="1"/>
  <c r="E7" i="44"/>
  <c r="Q4" i="28"/>
  <c r="GQ4" i="28"/>
  <c r="MD127" i="47"/>
  <c r="ED4" i="47"/>
  <c r="H5" i="22"/>
  <c r="H15" i="22"/>
  <c r="Q16" i="33" s="1"/>
  <c r="H43" i="22"/>
  <c r="FG4" i="28"/>
  <c r="HT4" i="47"/>
  <c r="CF129" i="28"/>
  <c r="GS129" i="28"/>
  <c r="ES4" i="47"/>
  <c r="JF127" i="47"/>
  <c r="B51" i="48"/>
  <c r="V47" i="28"/>
  <c r="Q29" i="73"/>
  <c r="AC53" i="73"/>
  <c r="Q93" i="73"/>
  <c r="GI115" i="28"/>
  <c r="LI106" i="47"/>
  <c r="FV89" i="28"/>
  <c r="KV115" i="28"/>
  <c r="I26" i="48"/>
  <c r="FY128" i="47"/>
  <c r="Y128" i="47"/>
  <c r="H10" i="22"/>
  <c r="H11" i="33" s="1"/>
  <c r="H7" i="44"/>
  <c r="JD4" i="28"/>
  <c r="GD129" i="28"/>
  <c r="CQ127" i="47"/>
  <c r="ID4" i="47"/>
  <c r="H31" i="22"/>
  <c r="K113" i="22"/>
  <c r="L95" i="33" s="1"/>
  <c r="BG4" i="28"/>
  <c r="AF4" i="28"/>
  <c r="GF129" i="28"/>
  <c r="ES4" i="28"/>
  <c r="GS4" i="47"/>
  <c r="LS4" i="47"/>
  <c r="C109" i="48"/>
  <c r="AB29" i="73"/>
  <c r="AM53" i="73"/>
  <c r="FS129" i="28"/>
  <c r="AF129" i="28"/>
  <c r="EF129" i="28"/>
  <c r="KS4" i="47"/>
  <c r="E48" i="18"/>
  <c r="S4" i="28"/>
  <c r="CS129" i="28"/>
  <c r="KS4" i="28"/>
  <c r="HV106" i="47"/>
  <c r="BV89" i="28"/>
  <c r="LV106" i="47"/>
  <c r="LV89" i="28"/>
  <c r="LI115" i="28"/>
  <c r="I73" i="48"/>
  <c r="II106" i="47"/>
  <c r="I24" i="48"/>
  <c r="HV115" i="28"/>
  <c r="CL128" i="47"/>
  <c r="GY130" i="28"/>
  <c r="CQ129" i="28"/>
  <c r="EQ4" i="28"/>
  <c r="GQ129" i="28"/>
  <c r="HD4" i="47"/>
  <c r="H99" i="22"/>
  <c r="I132" i="48" s="1"/>
  <c r="AG129" i="28"/>
  <c r="CT129" i="28"/>
  <c r="DS4" i="28"/>
  <c r="JS129" i="28"/>
  <c r="ES129" i="28"/>
  <c r="CS127" i="47"/>
  <c r="GV47" i="28"/>
  <c r="AB13" i="73"/>
  <c r="G37" i="73"/>
  <c r="AC61" i="73"/>
  <c r="MF127" i="47"/>
  <c r="EV106" i="47"/>
  <c r="DI123" i="47"/>
  <c r="I123" i="47"/>
  <c r="K21" i="33"/>
  <c r="FI115" i="28"/>
  <c r="BL130" i="28"/>
  <c r="EL128" i="47"/>
  <c r="MD4" i="28"/>
  <c r="EQ129" i="28"/>
  <c r="JQ129" i="28"/>
  <c r="KQ127" i="47"/>
  <c r="H86" i="22"/>
  <c r="I113" i="48" s="1"/>
  <c r="H103" i="22"/>
  <c r="I138" i="48" s="1"/>
  <c r="MG129" i="28"/>
  <c r="JT127" i="47"/>
  <c r="BS129" i="28"/>
  <c r="GF4" i="28"/>
  <c r="EF4" i="47"/>
  <c r="DF4" i="47"/>
  <c r="GV54" i="28"/>
  <c r="AM13" i="73"/>
  <c r="AA37" i="73"/>
  <c r="E69" i="73"/>
  <c r="HV47" i="28"/>
  <c r="AN13" i="73"/>
  <c r="AC37" i="73"/>
  <c r="AB69" i="73"/>
  <c r="JV115" i="28"/>
  <c r="JV5" i="28"/>
  <c r="E5" i="73"/>
  <c r="F21" i="73"/>
  <c r="AL37" i="73"/>
  <c r="AC69" i="73"/>
  <c r="JI106" i="47"/>
  <c r="EF4" i="28"/>
  <c r="GF4" i="47"/>
  <c r="KS127" i="47"/>
  <c r="I106" i="47"/>
  <c r="T31" i="33"/>
  <c r="JV123" i="47"/>
  <c r="CV89" i="28"/>
  <c r="EV115" i="47"/>
  <c r="DV125" i="47"/>
  <c r="EC124" i="47" s="1"/>
  <c r="EV115" i="28"/>
  <c r="Y130" i="28"/>
  <c r="KY128" i="47"/>
  <c r="LL130" i="28"/>
  <c r="F7" i="44"/>
  <c r="Q127" i="47"/>
  <c r="ID129" i="28"/>
  <c r="ED127" i="47"/>
  <c r="FQ4" i="47"/>
  <c r="H8" i="22"/>
  <c r="H47" i="22"/>
  <c r="I62" i="48" s="1"/>
  <c r="AG4" i="47"/>
  <c r="KT4" i="47"/>
  <c r="FF129" i="28"/>
  <c r="AS4" i="28"/>
  <c r="IF4" i="47"/>
  <c r="BF127" i="47"/>
  <c r="B125" i="48"/>
  <c r="B62" i="48"/>
  <c r="Z27" i="33"/>
  <c r="G5" i="73"/>
  <c r="G21" i="73"/>
  <c r="Q45" i="73"/>
  <c r="AN69" i="73"/>
  <c r="C62" i="48"/>
  <c r="JS4" i="28"/>
  <c r="GI106" i="47"/>
  <c r="V106" i="47"/>
  <c r="GI123" i="47"/>
  <c r="KI89" i="28"/>
  <c r="CI115" i="47"/>
  <c r="JV125" i="47"/>
  <c r="KC126" i="47" s="1"/>
  <c r="DV115" i="28"/>
  <c r="LY130" i="28"/>
  <c r="JY130" i="28"/>
  <c r="ID4" i="28"/>
  <c r="DD129" i="28"/>
  <c r="GQ4" i="47"/>
  <c r="JQ4" i="47"/>
  <c r="H48" i="22"/>
  <c r="BM4" i="28"/>
  <c r="HM4" i="28"/>
  <c r="DM4" i="47"/>
  <c r="H85" i="22"/>
  <c r="I112" i="48" s="1"/>
  <c r="H38" i="22"/>
  <c r="CG4" i="28"/>
  <c r="FG4" i="47"/>
  <c r="FF4" i="28"/>
  <c r="DS129" i="28"/>
  <c r="JS127" i="47"/>
  <c r="DF127" i="47"/>
  <c r="AB45" i="73"/>
  <c r="AC77" i="73"/>
  <c r="E28" i="18"/>
  <c r="D54" i="26" s="1"/>
  <c r="I23" i="22" s="1"/>
  <c r="AC18" i="33" s="1"/>
  <c r="D58" i="74" s="1"/>
  <c r="CC13" i="47"/>
  <c r="CE13" i="47" s="1"/>
  <c r="F69" i="28"/>
  <c r="IP13" i="47"/>
  <c r="IR13" i="47" s="1"/>
  <c r="F80" i="28"/>
  <c r="HP13" i="47"/>
  <c r="HQ13" i="47" s="1"/>
  <c r="KC13" i="47"/>
  <c r="KD13" i="47" s="1"/>
  <c r="G59" i="47"/>
  <c r="F81" i="47"/>
  <c r="I47" i="48"/>
  <c r="K26" i="33"/>
  <c r="L96" i="33"/>
  <c r="I153" i="48"/>
  <c r="V89" i="47"/>
  <c r="AI89" i="47"/>
  <c r="BI89" i="47"/>
  <c r="FV89" i="47"/>
  <c r="FI89" i="47"/>
  <c r="GV89" i="47"/>
  <c r="JI89" i="47"/>
  <c r="CI89" i="47"/>
  <c r="KV89" i="47"/>
  <c r="HV89" i="47"/>
  <c r="IV89" i="47"/>
  <c r="CV89" i="47"/>
  <c r="DV89" i="47"/>
  <c r="EV89" i="47"/>
  <c r="AV89" i="47"/>
  <c r="KI89" i="47"/>
  <c r="DI89" i="47"/>
  <c r="LV89" i="47"/>
  <c r="LI89" i="47"/>
  <c r="GI89" i="47"/>
  <c r="II89" i="47"/>
  <c r="HI89" i="47"/>
  <c r="BV89" i="47"/>
  <c r="I89" i="47"/>
  <c r="JV89" i="47"/>
  <c r="EI89" i="47"/>
  <c r="V5" i="28"/>
  <c r="CI54" i="28"/>
  <c r="JV47" i="28"/>
  <c r="B61" i="28"/>
  <c r="B82" i="47"/>
  <c r="R5" i="73"/>
  <c r="E21" i="73"/>
  <c r="AN21" i="73"/>
  <c r="E37" i="73"/>
  <c r="AN37" i="73"/>
  <c r="P53" i="73"/>
  <c r="AL61" i="73"/>
  <c r="P77" i="73"/>
  <c r="AC85" i="73"/>
  <c r="E10" i="18"/>
  <c r="BI125" i="28"/>
  <c r="JV125" i="28"/>
  <c r="DI106" i="28"/>
  <c r="BI5" i="28"/>
  <c r="CV47" i="28"/>
  <c r="EV47" i="28"/>
  <c r="HI47" i="28"/>
  <c r="KI54" i="28"/>
  <c r="B75" i="28"/>
  <c r="I17" i="3"/>
  <c r="AA5" i="73"/>
  <c r="G13" i="73"/>
  <c r="G29" i="73"/>
  <c r="F37" i="73"/>
  <c r="G45" i="73"/>
  <c r="R53" i="73"/>
  <c r="AN61" i="73"/>
  <c r="AA77" i="73"/>
  <c r="E93" i="73"/>
  <c r="E8" i="18"/>
  <c r="D62" i="26" s="1"/>
  <c r="D5" i="67" s="1"/>
  <c r="LI106" i="28"/>
  <c r="BV106" i="28"/>
  <c r="KC124" i="47"/>
  <c r="I54" i="48"/>
  <c r="CI106" i="47"/>
  <c r="AV106" i="47"/>
  <c r="FV106" i="47"/>
  <c r="B31" i="33"/>
  <c r="EI125" i="28"/>
  <c r="LI125" i="28"/>
  <c r="FV125" i="28"/>
  <c r="EV106" i="28"/>
  <c r="CI106" i="28"/>
  <c r="HI106" i="28"/>
  <c r="I106" i="28"/>
  <c r="LI89" i="28"/>
  <c r="CI89" i="28"/>
  <c r="I13" i="48"/>
  <c r="EV123" i="28"/>
  <c r="BV115" i="28"/>
  <c r="JI115" i="28"/>
  <c r="BI115" i="28"/>
  <c r="DY130" i="28"/>
  <c r="IL130" i="28"/>
  <c r="GL128" i="47"/>
  <c r="BY130" i="28"/>
  <c r="GL130" i="28"/>
  <c r="KY130" i="28"/>
  <c r="H59" i="22"/>
  <c r="O2" i="33"/>
  <c r="AQ129" i="28"/>
  <c r="LD4" i="28"/>
  <c r="KQ4" i="28"/>
  <c r="Q129" i="28"/>
  <c r="CQ4" i="28"/>
  <c r="CD129" i="28"/>
  <c r="BQ4" i="28"/>
  <c r="AQ4" i="47"/>
  <c r="IQ4" i="47"/>
  <c r="EQ127" i="47"/>
  <c r="BQ4" i="47"/>
  <c r="LQ4" i="47"/>
  <c r="LQ127" i="47"/>
  <c r="H27" i="22"/>
  <c r="H39" i="22"/>
  <c r="H23" i="22"/>
  <c r="H68" i="22"/>
  <c r="T4" i="47"/>
  <c r="AT129" i="28"/>
  <c r="KG129" i="28"/>
  <c r="GG4" i="28"/>
  <c r="AG127" i="47"/>
  <c r="BT4" i="47"/>
  <c r="Z32" i="33"/>
  <c r="BI54" i="28"/>
  <c r="GI125" i="28"/>
  <c r="DI106" i="47"/>
  <c r="EI106" i="47"/>
  <c r="JV106" i="47"/>
  <c r="CV125" i="28"/>
  <c r="II125" i="28"/>
  <c r="HI125" i="28"/>
  <c r="GI106" i="28"/>
  <c r="KI106" i="28"/>
  <c r="EI106" i="28"/>
  <c r="AI106" i="28"/>
  <c r="DI89" i="28"/>
  <c r="I123" i="28"/>
  <c r="AV115" i="28"/>
  <c r="CI115" i="28"/>
  <c r="II115" i="28"/>
  <c r="HY130" i="28"/>
  <c r="BY128" i="47"/>
  <c r="KL128" i="47"/>
  <c r="FY130" i="28"/>
  <c r="KL130" i="28"/>
  <c r="AL128" i="47"/>
  <c r="H70" i="22"/>
  <c r="I91" i="48" s="1"/>
  <c r="L2" i="33"/>
  <c r="CD4" i="28"/>
  <c r="JQ4" i="28"/>
  <c r="FD4" i="28"/>
  <c r="BD129" i="28"/>
  <c r="LD129" i="28"/>
  <c r="DQ129" i="28"/>
  <c r="AD4" i="28"/>
  <c r="CD127" i="47"/>
  <c r="KD127" i="47"/>
  <c r="FD4" i="47"/>
  <c r="DD127" i="47"/>
  <c r="CD4" i="47"/>
  <c r="MD4" i="47"/>
  <c r="H72" i="22"/>
  <c r="H33" i="22"/>
  <c r="H95" i="22"/>
  <c r="I126" i="48" s="1"/>
  <c r="LT129" i="28"/>
  <c r="GT4" i="28"/>
  <c r="LT4" i="28"/>
  <c r="IT129" i="28"/>
  <c r="CT4" i="47"/>
  <c r="DT4" i="47"/>
  <c r="B84" i="48"/>
  <c r="AI5" i="28"/>
  <c r="BV5" i="28"/>
  <c r="DI47" i="28"/>
  <c r="GI5" i="28"/>
  <c r="II47" i="28"/>
  <c r="B12" i="28"/>
  <c r="AN5" i="73"/>
  <c r="R13" i="73"/>
  <c r="P21" i="73"/>
  <c r="R29" i="73"/>
  <c r="P37" i="73"/>
  <c r="R45" i="73"/>
  <c r="G69" i="73"/>
  <c r="AN77" i="73"/>
  <c r="AL93" i="73"/>
  <c r="AI54" i="28"/>
  <c r="DV5" i="28"/>
  <c r="GI47" i="28"/>
  <c r="V33" i="47"/>
  <c r="R21" i="73"/>
  <c r="R37" i="73"/>
  <c r="AN53" i="73"/>
  <c r="R69" i="73"/>
  <c r="G85" i="73"/>
  <c r="AV5" i="28"/>
  <c r="BV47" i="28"/>
  <c r="DV54" i="28"/>
  <c r="GV5" i="28"/>
  <c r="B26" i="28"/>
  <c r="AC13" i="73"/>
  <c r="AC29" i="73"/>
  <c r="AC45" i="73"/>
  <c r="P85" i="73"/>
  <c r="E72" i="18"/>
  <c r="AV125" i="28"/>
  <c r="KI125" i="28"/>
  <c r="KV106" i="28"/>
  <c r="FV106" i="28"/>
  <c r="I16" i="48"/>
  <c r="KI106" i="47"/>
  <c r="BI106" i="47"/>
  <c r="IV106" i="47"/>
  <c r="BV106" i="47"/>
  <c r="DI125" i="28"/>
  <c r="I125" i="28"/>
  <c r="BV125" i="28"/>
  <c r="EV125" i="28"/>
  <c r="IV106" i="28"/>
  <c r="AV106" i="28"/>
  <c r="GV106" i="28"/>
  <c r="AC26" i="33"/>
  <c r="HI89" i="28"/>
  <c r="AV89" i="28"/>
  <c r="AV125" i="47"/>
  <c r="BC126" i="47" s="1"/>
  <c r="AI115" i="28"/>
  <c r="LV115" i="28"/>
  <c r="EI115" i="28"/>
  <c r="T21" i="33"/>
  <c r="AY128" i="47"/>
  <c r="FL128" i="47"/>
  <c r="AY130" i="28"/>
  <c r="JL130" i="28"/>
  <c r="DL128" i="47"/>
  <c r="HY128" i="47"/>
  <c r="L130" i="28"/>
  <c r="H96" i="22"/>
  <c r="I128" i="48" s="1"/>
  <c r="H74" i="22"/>
  <c r="AF31" i="33" s="1"/>
  <c r="DD4" i="28"/>
  <c r="FD129" i="28"/>
  <c r="BQ129" i="28"/>
  <c r="LQ4" i="28"/>
  <c r="LQ129" i="28"/>
  <c r="DQ4" i="28"/>
  <c r="AD4" i="47"/>
  <c r="EQ4" i="47"/>
  <c r="AQ127" i="47"/>
  <c r="IQ127" i="47"/>
  <c r="HD127" i="47"/>
  <c r="GD4" i="47"/>
  <c r="H92" i="22"/>
  <c r="I122" i="48" s="1"/>
  <c r="H61" i="22"/>
  <c r="H89" i="22"/>
  <c r="I118" i="48" s="1"/>
  <c r="IT4" i="28"/>
  <c r="JT129" i="28"/>
  <c r="BT4" i="28"/>
  <c r="FT127" i="47"/>
  <c r="MG127" i="47"/>
  <c r="LG127" i="47"/>
  <c r="HS129" i="28"/>
  <c r="LF4" i="28"/>
  <c r="CF4" i="47"/>
  <c r="EF127" i="47"/>
  <c r="IS127" i="47"/>
  <c r="C38" i="48"/>
  <c r="JI54" i="28"/>
  <c r="GV125" i="28"/>
  <c r="II106" i="28"/>
  <c r="CV106" i="47"/>
  <c r="DV106" i="47"/>
  <c r="I36" i="48"/>
  <c r="JI125" i="28"/>
  <c r="V125" i="28"/>
  <c r="JV106" i="28"/>
  <c r="FI106" i="28"/>
  <c r="AI89" i="28"/>
  <c r="JI89" i="28"/>
  <c r="I4" i="48"/>
  <c r="DI115" i="28"/>
  <c r="CV115" i="28"/>
  <c r="EY128" i="47"/>
  <c r="JL128" i="47"/>
  <c r="EY130" i="28"/>
  <c r="CY128" i="47"/>
  <c r="HL128" i="47"/>
  <c r="LY128" i="47"/>
  <c r="H105" i="22"/>
  <c r="AA2" i="33"/>
  <c r="ED129" i="28"/>
  <c r="IQ129" i="28"/>
  <c r="GD4" i="28"/>
  <c r="HD4" i="28"/>
  <c r="BD4" i="28"/>
  <c r="MD129" i="28"/>
  <c r="ED4" i="28"/>
  <c r="GD127" i="47"/>
  <c r="BD4" i="47"/>
  <c r="JD4" i="47"/>
  <c r="HQ4" i="47"/>
  <c r="H73" i="22"/>
  <c r="HT4" i="28"/>
  <c r="ET129" i="28"/>
  <c r="ET4" i="28"/>
  <c r="HT127" i="47"/>
  <c r="DG4" i="47"/>
  <c r="LT4" i="47"/>
  <c r="E22" i="33"/>
  <c r="G50" i="28"/>
  <c r="F41" i="28"/>
  <c r="EC41" i="28" s="1"/>
  <c r="EE41" i="28" s="1"/>
  <c r="G64" i="28"/>
  <c r="BP64" i="28" s="1"/>
  <c r="G79" i="28"/>
  <c r="GC79" i="28" s="1"/>
  <c r="GD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F72" i="28"/>
  <c r="G70" i="47"/>
  <c r="AP70" i="47" s="1"/>
  <c r="AQ70" i="47" s="1"/>
  <c r="HC34" i="28"/>
  <c r="HF34" i="28" s="1"/>
  <c r="JC62" i="47"/>
  <c r="JD62" i="47" s="1"/>
  <c r="G14" i="28"/>
  <c r="G28" i="28"/>
  <c r="G39" i="28"/>
  <c r="FC13" i="47"/>
  <c r="FD13" i="47" s="1"/>
  <c r="F35" i="28"/>
  <c r="IP35" i="28" s="1"/>
  <c r="IQ35" i="28" s="1"/>
  <c r="G13" i="28"/>
  <c r="AF11" i="33"/>
  <c r="I32" i="48"/>
  <c r="P126" i="47"/>
  <c r="O107" i="47"/>
  <c r="I61" i="48"/>
  <c r="AC21" i="33"/>
  <c r="KB108" i="47"/>
  <c r="CI123" i="47"/>
  <c r="HI123" i="47"/>
  <c r="GV123" i="47"/>
  <c r="II89" i="28"/>
  <c r="BI89" i="28"/>
  <c r="KV89" i="28"/>
  <c r="EI89" i="28"/>
  <c r="FI115" i="47"/>
  <c r="CV115" i="47"/>
  <c r="HV115" i="47"/>
  <c r="HV123" i="28"/>
  <c r="AV123" i="28"/>
  <c r="BV123" i="28"/>
  <c r="HI125" i="47"/>
  <c r="IV125" i="47"/>
  <c r="KI125" i="47"/>
  <c r="KO107" i="47" s="1"/>
  <c r="CI125" i="47"/>
  <c r="EL132" i="28"/>
  <c r="JY132" i="28"/>
  <c r="L132" i="28"/>
  <c r="DY132" i="28"/>
  <c r="BL130" i="47"/>
  <c r="DY130" i="47"/>
  <c r="GL130" i="47"/>
  <c r="H90" i="22"/>
  <c r="I119" i="48" s="1"/>
  <c r="R2" i="33"/>
  <c r="U2" i="33"/>
  <c r="AV127" i="28"/>
  <c r="LV127" i="28"/>
  <c r="KE4" i="28"/>
  <c r="FR4" i="28"/>
  <c r="IR4" i="47"/>
  <c r="FR127" i="47"/>
  <c r="H82" i="22"/>
  <c r="I107" i="48" s="1"/>
  <c r="H67" i="22"/>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H63" i="22"/>
  <c r="B8" i="48"/>
  <c r="BB108" i="47"/>
  <c r="EC126" i="47"/>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T32" i="33"/>
  <c r="C86" i="48"/>
  <c r="BC124" i="47"/>
  <c r="EB108" i="47"/>
  <c r="AC11" i="33"/>
  <c r="I96"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H13" i="22"/>
  <c r="FQ127" i="47"/>
  <c r="JD127" i="47"/>
  <c r="BD127" i="47"/>
  <c r="JQ127" i="47"/>
  <c r="BQ127" i="47"/>
  <c r="FD127" i="47"/>
  <c r="H17" i="22"/>
  <c r="H75" i="22"/>
  <c r="BB107" i="47"/>
  <c r="II115" i="47"/>
  <c r="FV115" i="47"/>
  <c r="DI115" i="47"/>
  <c r="I147" i="48"/>
  <c r="LI123" i="28"/>
  <c r="CV123" i="28"/>
  <c r="CI123" i="28"/>
  <c r="DI125" i="47"/>
  <c r="EV125" i="47"/>
  <c r="GV125" i="47"/>
  <c r="JV127" i="28"/>
  <c r="II127" i="28"/>
  <c r="BR129" i="28"/>
  <c r="IE4" i="28"/>
  <c r="FE4" i="47"/>
  <c r="C94" i="48"/>
  <c r="AC32" i="33"/>
  <c r="EB107"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CS4" i="47"/>
  <c r="AS127" i="47"/>
  <c r="LF4" i="47"/>
  <c r="LF127" i="47"/>
  <c r="AF27" i="33"/>
  <c r="B65" i="48"/>
  <c r="K17" i="33"/>
  <c r="B12" i="48"/>
  <c r="C12" i="48"/>
  <c r="C113" i="48"/>
  <c r="B113" i="48"/>
  <c r="KB107" i="47"/>
  <c r="IV115" i="47"/>
  <c r="GI115" i="47"/>
  <c r="AI115" i="47"/>
  <c r="GV123" i="28"/>
  <c r="V123" i="28"/>
  <c r="DV123" i="28"/>
  <c r="FI123" i="28"/>
  <c r="II125" i="47"/>
  <c r="BV125" i="47"/>
  <c r="V125" i="47"/>
  <c r="LI127" i="28"/>
  <c r="GV127" i="28"/>
  <c r="R127" i="47"/>
  <c r="AR4" i="47"/>
  <c r="JE127" i="47"/>
  <c r="IV127" i="28"/>
  <c r="H60" i="22"/>
  <c r="H25" i="22"/>
  <c r="H14" i="22"/>
  <c r="C65" i="48"/>
  <c r="V115" i="47"/>
  <c r="KI115" i="47"/>
  <c r="BI123" i="28"/>
  <c r="II123" i="28"/>
  <c r="CV125" i="47"/>
  <c r="EI125" i="47"/>
  <c r="GI125" i="47"/>
  <c r="GO108" i="47" s="1"/>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42"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D22" i="74"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HP124" i="47"/>
  <c r="DC124" i="47"/>
  <c r="Z11" i="33"/>
  <c r="H45" i="22"/>
  <c r="DE129" i="28"/>
  <c r="ME129" i="28"/>
  <c r="EE129" i="28"/>
  <c r="R4" i="47"/>
  <c r="CE4" i="28"/>
  <c r="LE4" i="28"/>
  <c r="CR129" i="28"/>
  <c r="ER4" i="47"/>
  <c r="AR127" i="47"/>
  <c r="IR127" i="47"/>
  <c r="FE127" i="47"/>
  <c r="BR127" i="47"/>
  <c r="JR127" i="47"/>
  <c r="B3" i="28"/>
  <c r="M4" i="19" a="1"/>
  <c r="B138" i="48"/>
  <c r="C30" i="48"/>
  <c r="AC12" i="33"/>
  <c r="CO107" i="47"/>
  <c r="JC126" i="47"/>
  <c r="P124"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9" i="48"/>
  <c r="CP126" i="47"/>
  <c r="JC124" i="47"/>
  <c r="O108" i="47"/>
  <c r="EO107" i="47"/>
  <c r="H58" i="22"/>
  <c r="B1" i="30"/>
  <c r="JE129" i="28"/>
  <c r="GE129" i="28"/>
  <c r="KR4" i="28"/>
  <c r="LR4" i="28"/>
  <c r="LE129" i="28"/>
  <c r="IR129" i="28"/>
  <c r="IR4" i="28"/>
  <c r="GR4" i="47"/>
  <c r="CR127" i="47"/>
  <c r="KR127" i="47"/>
  <c r="HE127" i="47"/>
  <c r="DR127" i="47"/>
  <c r="LR127" i="47"/>
  <c r="B101" i="48"/>
  <c r="C22" i="48"/>
  <c r="H71" i="22"/>
  <c r="BE4" i="28"/>
  <c r="HR4" i="28"/>
  <c r="JE4" i="28"/>
  <c r="HE129" i="28"/>
  <c r="JR4" i="28"/>
  <c r="ER4" i="28"/>
  <c r="AE127" i="47"/>
  <c r="IE127" i="47"/>
  <c r="DE4" i="47"/>
  <c r="LE4" i="47"/>
  <c r="HR4" i="47"/>
  <c r="EE4" i="47"/>
  <c r="ME4" i="47"/>
  <c r="B149" i="48"/>
  <c r="K111" i="22"/>
  <c r="L85" i="33" s="1"/>
  <c r="B4" i="48"/>
  <c r="B12" i="33"/>
  <c r="H22" i="33"/>
  <c r="C40" i="48"/>
  <c r="AC17" i="33"/>
  <c r="C29" i="48"/>
  <c r="AF17" i="33"/>
  <c r="B33" i="48"/>
  <c r="E32" i="33"/>
  <c r="B70" i="48"/>
  <c r="B60" i="48"/>
  <c r="C60" i="48"/>
  <c r="C13" i="48"/>
  <c r="H12" i="33"/>
  <c r="C107" i="48"/>
  <c r="B107" i="48"/>
  <c r="C126" i="48"/>
  <c r="B126" i="48"/>
  <c r="C55" i="48"/>
  <c r="B55" i="48"/>
  <c r="Z22" i="33"/>
  <c r="EF97" i="47"/>
  <c r="HP126" i="47"/>
  <c r="GO107" i="47"/>
  <c r="DB108" i="47"/>
  <c r="I67" i="48"/>
  <c r="H32" i="22"/>
  <c r="FR129" i="28"/>
  <c r="KR129" i="28"/>
  <c r="AE4" i="28"/>
  <c r="ER129" i="28"/>
  <c r="IE129" i="28"/>
  <c r="BR4" i="28"/>
  <c r="HR129" i="28"/>
  <c r="CR4" i="47"/>
  <c r="KR4" i="47"/>
  <c r="GR127" i="47"/>
  <c r="DE127" i="47"/>
  <c r="LE127" i="47"/>
  <c r="HR127" i="47"/>
  <c r="C59"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9"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II40" i="28" s="1"/>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IV75" i="47" s="1"/>
  <c r="B23" i="3"/>
  <c r="E23" i="3"/>
  <c r="H23" i="3"/>
  <c r="B68" i="47"/>
  <c r="B26" i="47"/>
  <c r="CV19" i="28"/>
  <c r="CV82" i="28"/>
  <c r="DI54" i="28"/>
  <c r="EI26" i="28"/>
  <c r="EV19" i="28"/>
  <c r="FI82" i="28"/>
  <c r="GI54" i="28"/>
  <c r="HI26" i="28"/>
  <c r="HV26" i="28"/>
  <c r="II26" i="28"/>
  <c r="IV19" i="28"/>
  <c r="JI19" i="28"/>
  <c r="V19" i="47"/>
  <c r="AI33" i="47"/>
  <c r="JI82" i="47"/>
  <c r="B5" i="47"/>
  <c r="J46" i="22"/>
  <c r="J72" i="22"/>
  <c r="D7" i="66"/>
  <c r="H14" i="3"/>
  <c r="AM45" i="73"/>
  <c r="G61" i="73"/>
  <c r="AM61" i="73"/>
  <c r="G77" i="73"/>
  <c r="AM77" i="73"/>
  <c r="G93" i="73"/>
  <c r="E88" i="18"/>
  <c r="E80" i="18"/>
  <c r="E71" i="18"/>
  <c r="E63" i="18"/>
  <c r="E55" i="18"/>
  <c r="E47" i="18"/>
  <c r="E39" i="18"/>
  <c r="E30" i="18"/>
  <c r="E20" i="18"/>
  <c r="D7" i="26" s="1"/>
  <c r="I31" i="22" s="1"/>
  <c r="B28" i="33" s="1"/>
  <c r="D5" i="74"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E14" i="18"/>
  <c r="D27" i="26" s="1"/>
  <c r="E186" i="18"/>
  <c r="E11" i="18"/>
  <c r="D32" i="26" s="1"/>
  <c r="D5" i="71" s="1"/>
  <c r="D14"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D39" i="26" s="1"/>
  <c r="D7" i="64" s="1"/>
  <c r="D16" i="64" s="1"/>
  <c r="E15" i="18"/>
  <c r="D63" i="26" s="1"/>
  <c r="D6" i="67" s="1"/>
  <c r="D15" i="67" s="1"/>
  <c r="E76" i="18"/>
  <c r="Q69" i="73"/>
  <c r="E90" i="18"/>
  <c r="E82" i="18"/>
  <c r="E73" i="18"/>
  <c r="E65" i="18"/>
  <c r="D44" i="26" s="1"/>
  <c r="J41" i="22" s="1"/>
  <c r="E57" i="18"/>
  <c r="E49" i="18"/>
  <c r="E41" i="18"/>
  <c r="D29" i="26" s="1"/>
  <c r="J58" i="22" s="1"/>
  <c r="E32" i="18"/>
  <c r="D53" i="26" s="1"/>
  <c r="J22" i="22" s="1"/>
  <c r="AD13" i="33" s="1"/>
  <c r="E57" i="74" s="1"/>
  <c r="E23" i="18"/>
  <c r="E12" i="18"/>
  <c r="D18" i="26" s="1"/>
  <c r="D6" i="63" s="1"/>
  <c r="D15" i="63" s="1"/>
  <c r="E96" i="18"/>
  <c r="E97" i="18"/>
  <c r="E99" i="18"/>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IS13" i="47"/>
  <c r="JP62" i="47"/>
  <c r="F9" i="47"/>
  <c r="F9" i="28"/>
  <c r="AQ100" i="47"/>
  <c r="AR100" i="47" s="1"/>
  <c r="MC13" i="47"/>
  <c r="MD13" i="47" s="1"/>
  <c r="JP13" i="47"/>
  <c r="JQ13" i="47" s="1"/>
  <c r="LP13" i="47"/>
  <c r="CP13" i="47"/>
  <c r="EP13" i="47"/>
  <c r="BC62" i="47"/>
  <c r="DC62" i="47"/>
  <c r="DF62" i="47" s="1"/>
  <c r="IP78" i="47"/>
  <c r="IQ78" i="47" s="1"/>
  <c r="JC78" i="47"/>
  <c r="P78" i="47"/>
  <c r="S78" i="47" s="1"/>
  <c r="LQ104" i="47"/>
  <c r="LR104" i="47" s="1"/>
  <c r="GF97"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FC67" i="28"/>
  <c r="HS105" i="47"/>
  <c r="HQ105" i="47"/>
  <c r="HR105" i="47" s="1"/>
  <c r="KS103" i="47"/>
  <c r="KQ103" i="47"/>
  <c r="KR103" i="47" s="1"/>
  <c r="HQ93" i="47"/>
  <c r="HR93" i="47" s="1"/>
  <c r="LQ91" i="47"/>
  <c r="LR91" i="47" s="1"/>
  <c r="LQ93" i="47"/>
  <c r="LR93" i="47" s="1"/>
  <c r="AS95" i="47"/>
  <c r="CF97" i="47"/>
  <c r="EF98" i="47"/>
  <c r="ED98" i="47"/>
  <c r="EE98" i="47" s="1"/>
  <c r="DP78" i="47"/>
  <c r="EC78" i="47"/>
  <c r="FC78" i="47"/>
  <c r="CC78" i="47"/>
  <c r="DC78" i="47"/>
  <c r="KC78" i="47"/>
  <c r="EP78" i="47"/>
  <c r="MC78" i="47"/>
  <c r="AC78" i="47"/>
  <c r="KP78" i="47"/>
  <c r="BP78" i="47"/>
  <c r="HP78" i="47"/>
  <c r="CP78" i="47"/>
  <c r="DC71" i="47"/>
  <c r="KP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FS104" i="47"/>
  <c r="HD97" i="47"/>
  <c r="HE97" i="47" s="1"/>
  <c r="F45" i="47"/>
  <c r="F45" i="28"/>
  <c r="G88" i="28"/>
  <c r="D29" i="48"/>
  <c r="F37" i="47"/>
  <c r="F37" i="28"/>
  <c r="F50" i="28"/>
  <c r="F50" i="47"/>
  <c r="CP50" i="47" s="1"/>
  <c r="F66" i="47"/>
  <c r="F66" i="28"/>
  <c r="F59" i="47"/>
  <c r="F59" i="28"/>
  <c r="F65" i="28"/>
  <c r="F65" i="47"/>
  <c r="G17" i="28"/>
  <c r="G17" i="47"/>
  <c r="F36" i="28"/>
  <c r="F36" i="47"/>
  <c r="G25" i="28"/>
  <c r="G25" i="47"/>
  <c r="G32" i="28"/>
  <c r="G32" i="47"/>
  <c r="JS101" i="47"/>
  <c r="ES92" i="47"/>
  <c r="EQ92" i="47"/>
  <c r="ER92" i="47" s="1"/>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FD100" i="47"/>
  <c r="FE100" i="47" s="1"/>
  <c r="KF95" i="47"/>
  <c r="F43" i="28"/>
  <c r="F43" i="47"/>
  <c r="I39" i="22"/>
  <c r="F49" i="47"/>
  <c r="F49" i="28"/>
  <c r="F57" i="28"/>
  <c r="F57" i="47"/>
  <c r="G73" i="47"/>
  <c r="G73" i="28"/>
  <c r="G69" i="28"/>
  <c r="Y22" i="66"/>
  <c r="G69" i="47"/>
  <c r="G81" i="28"/>
  <c r="G81" i="47"/>
  <c r="JS91" i="47"/>
  <c r="IQ104" i="47"/>
  <c r="IR104" i="47" s="1"/>
  <c r="CF95" i="47"/>
  <c r="HF91" i="47"/>
  <c r="LF126" i="47"/>
  <c r="KQ101" i="47"/>
  <c r="KR101" i="47" s="1"/>
  <c r="HQ95" i="47"/>
  <c r="HR95" i="47" s="1"/>
  <c r="HQ126" i="47"/>
  <c r="HR126" i="47" s="1"/>
  <c r="GS93" i="47"/>
  <c r="P74" i="47"/>
  <c r="FS99" i="47"/>
  <c r="CC77" i="47"/>
  <c r="P77" i="47"/>
  <c r="GP77" i="47"/>
  <c r="IP77" i="47"/>
  <c r="LP77" i="47"/>
  <c r="HP77" i="47"/>
  <c r="KF102" i="47"/>
  <c r="FD98" i="47"/>
  <c r="FE98" i="47" s="1"/>
  <c r="FF98" i="47"/>
  <c r="JS103" i="47"/>
  <c r="JQ103" i="47"/>
  <c r="JR103" i="47" s="1"/>
  <c r="G38" i="28"/>
  <c r="G38" i="47"/>
  <c r="G11" i="47"/>
  <c r="HP11" i="47" s="1"/>
  <c r="G11" i="28"/>
  <c r="DG130" i="28"/>
  <c r="DG131" i="28" s="1"/>
  <c r="F17" i="47"/>
  <c r="F17" i="28"/>
  <c r="G16" i="47"/>
  <c r="KP16" i="47" s="1"/>
  <c r="G16" i="28"/>
  <c r="G23" i="47"/>
  <c r="G23" i="28"/>
  <c r="G36" i="47"/>
  <c r="G36" i="28"/>
  <c r="IP34" i="28"/>
  <c r="DP34" i="28"/>
  <c r="IT130" i="28"/>
  <c r="IT131" i="28" s="1"/>
  <c r="JT130" i="28"/>
  <c r="JT131" i="28" s="1"/>
  <c r="F23" i="47"/>
  <c r="F23" i="28"/>
  <c r="F30" i="28"/>
  <c r="F30" i="47"/>
  <c r="F25" i="47"/>
  <c r="G30" i="28"/>
  <c r="F7" i="47"/>
  <c r="F7" i="28"/>
  <c r="AF104" i="47"/>
  <c r="KS90" i="47"/>
  <c r="S99" i="47"/>
  <c r="IF99" i="47"/>
  <c r="FF93" i="47"/>
  <c r="HQ97" i="47"/>
  <c r="HR97" i="47" s="1"/>
  <c r="CS100" i="47"/>
  <c r="DS102" i="47"/>
  <c r="DS126" i="47"/>
  <c r="GF101" i="47"/>
  <c r="ES93" i="47"/>
  <c r="KQ97" i="47"/>
  <c r="KR97" i="47" s="1"/>
  <c r="IS97" i="47"/>
  <c r="ED101" i="47"/>
  <c r="EE101" i="47" s="1"/>
  <c r="AQ93" i="47"/>
  <c r="AR93" i="47" s="1"/>
  <c r="BF104" i="47"/>
  <c r="IF100" i="47"/>
  <c r="AS126" i="47"/>
  <c r="BQ104" i="47"/>
  <c r="BR104" i="47" s="1"/>
  <c r="AD91" i="47"/>
  <c r="AE91" i="47" s="1"/>
  <c r="IC77" i="47"/>
  <c r="GC77" i="47"/>
  <c r="AC77" i="47"/>
  <c r="FC77" i="47"/>
  <c r="KC77" i="47"/>
  <c r="BC77" i="47"/>
  <c r="LC77" i="47"/>
  <c r="EP77" i="47"/>
  <c r="HC77" i="47"/>
  <c r="KP77" i="47"/>
  <c r="MC77" i="47"/>
  <c r="DP77" i="47"/>
  <c r="AP77" i="47"/>
  <c r="FP77" i="47"/>
  <c r="DC77" i="47"/>
  <c r="CP77" i="47"/>
  <c r="JP77" i="47"/>
  <c r="EC77" i="47"/>
  <c r="JC77" i="47"/>
  <c r="BP77"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0" i="28"/>
  <c r="CT131" i="28" s="1"/>
  <c r="ET130" i="28"/>
  <c r="ET131" i="28" s="1"/>
  <c r="GG130" i="28"/>
  <c r="GG131" i="28" s="1"/>
  <c r="IG130" i="28"/>
  <c r="IG131" i="28" s="1"/>
  <c r="KG130" i="28"/>
  <c r="KG131" i="28" s="1"/>
  <c r="LT130" i="28"/>
  <c r="LT131" i="28" s="1"/>
  <c r="MG130" i="28"/>
  <c r="MG131" i="28" s="1"/>
  <c r="Y23" i="61"/>
  <c r="Y27" i="61"/>
  <c r="F16" i="28"/>
  <c r="G34" i="47"/>
  <c r="F64" i="47"/>
  <c r="G53" i="28"/>
  <c r="F24" i="47"/>
  <c r="BQ103" i="47"/>
  <c r="BR103" i="47" s="1"/>
  <c r="W27" i="61"/>
  <c r="F77" i="28"/>
  <c r="F31" i="47"/>
  <c r="F11" i="28"/>
  <c r="G74" i="28"/>
  <c r="W23" i="61"/>
  <c r="X23" i="61"/>
  <c r="X27" i="61"/>
  <c r="FF126" i="47"/>
  <c r="W22" i="61"/>
  <c r="Y24" i="64"/>
  <c r="X26" i="66"/>
  <c r="G6" i="28"/>
  <c r="G9" i="28"/>
  <c r="HS98" i="47"/>
  <c r="G10" i="28"/>
  <c r="W24" i="66"/>
  <c r="KV19" i="47"/>
  <c r="X22" i="64"/>
  <c r="BQ101" i="47"/>
  <c r="BR101" i="47" s="1"/>
  <c r="BD93" i="47"/>
  <c r="BE93" i="47" s="1"/>
  <c r="LD99" i="47"/>
  <c r="LE99" i="47" s="1"/>
  <c r="C77" i="48"/>
  <c r="FS98" i="47"/>
  <c r="BI33" i="47"/>
  <c r="BV19" i="47"/>
  <c r="CV19" i="47"/>
  <c r="CV54" i="47"/>
  <c r="CV68" i="47"/>
  <c r="DV19" i="47"/>
  <c r="EV54" i="47"/>
  <c r="FI19" i="47"/>
  <c r="FI61" i="47"/>
  <c r="GI19" i="47"/>
  <c r="II19" i="47"/>
  <c r="IV19" i="47"/>
  <c r="IV54" i="47"/>
  <c r="JI54" i="47"/>
  <c r="JV54" i="47"/>
  <c r="KI5" i="47"/>
  <c r="W27" i="63"/>
  <c r="X22" i="66"/>
  <c r="DQ100" i="47"/>
  <c r="DR100" i="47" s="1"/>
  <c r="FD92" i="47"/>
  <c r="FE92" i="47" s="1"/>
  <c r="HV12" i="28"/>
  <c r="CI33" i="47"/>
  <c r="EV33" i="47"/>
  <c r="FV19" i="47"/>
  <c r="GI82" i="47"/>
  <c r="GV26" i="47"/>
  <c r="GV68" i="47"/>
  <c r="HI19" i="47"/>
  <c r="JI19" i="47"/>
  <c r="JI61" i="47"/>
  <c r="LI54" i="47"/>
  <c r="LV54" i="47"/>
  <c r="KQ102" i="47"/>
  <c r="KR102" i="47" s="1"/>
  <c r="KD101" i="47"/>
  <c r="KE101" i="47" s="1"/>
  <c r="FI82" i="47"/>
  <c r="II68" i="47"/>
  <c r="LI68" i="47"/>
  <c r="LV19" i="47"/>
  <c r="F87" i="28"/>
  <c r="CP87" i="28" s="1"/>
  <c r="CR87" i="28" s="1"/>
  <c r="LF100" i="47"/>
  <c r="CF94" i="47"/>
  <c r="JF93" i="47"/>
  <c r="GQ104" i="47"/>
  <c r="GR104" i="47" s="1"/>
  <c r="B81" i="48"/>
  <c r="B100"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IS101"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Q37" i="33"/>
  <c r="B77" i="48"/>
  <c r="GS105" i="47"/>
  <c r="CQ105" i="47"/>
  <c r="CR105" i="47" s="1"/>
  <c r="GS96" i="47"/>
  <c r="ES126" i="47"/>
  <c r="LQ126" i="47"/>
  <c r="LR126" i="47" s="1"/>
  <c r="L87" i="33"/>
  <c r="KS92" i="47"/>
  <c r="AQ103" i="47"/>
  <c r="AR103" i="47" s="1"/>
  <c r="LD94" i="47"/>
  <c r="LE94" i="47" s="1"/>
  <c r="FF101" i="47"/>
  <c r="C150" i="48"/>
  <c r="C81" i="48"/>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Y22" i="67"/>
  <c r="KD126" i="47"/>
  <c r="KE126" i="47" s="1"/>
  <c r="LQ101" i="47"/>
  <c r="LR101" i="47" s="1"/>
  <c r="CQ93" i="47"/>
  <c r="CR93" i="47" s="1"/>
  <c r="IS93" i="47"/>
  <c r="FD95" i="47"/>
  <c r="FE95" i="47" s="1"/>
  <c r="BD102" i="47"/>
  <c r="BE102" i="47" s="1"/>
  <c r="F84" i="28"/>
  <c r="W26" i="67"/>
  <c r="Y26" i="67"/>
  <c r="G85" i="28"/>
  <c r="KF126" i="47"/>
  <c r="LF101" i="47"/>
  <c r="CS97" i="47"/>
  <c r="EF95" i="47"/>
  <c r="ID102" i="47"/>
  <c r="IE102" i="47" s="1"/>
  <c r="W27" i="67"/>
  <c r="AQ126" i="47"/>
  <c r="AR126" i="47" s="1"/>
  <c r="KF100" i="47"/>
  <c r="IF101" i="47"/>
  <c r="JC88" i="47"/>
  <c r="HF126" i="47"/>
  <c r="DF104" i="47"/>
  <c r="BD95" i="47"/>
  <c r="BE95" i="47" s="1"/>
  <c r="IS99" i="47"/>
  <c r="AD126" i="47"/>
  <c r="AE126" i="47" s="1"/>
  <c r="KF104" i="47"/>
  <c r="MF97" i="47"/>
  <c r="CS95" i="47"/>
  <c r="JF99" i="47"/>
  <c r="C80" i="48"/>
  <c r="C9" i="48"/>
  <c r="CS92" i="47"/>
  <c r="CI40" i="47"/>
  <c r="I40" i="47"/>
  <c r="CV40" i="47"/>
  <c r="X23" i="65"/>
  <c r="F56" i="47"/>
  <c r="B37" i="33"/>
  <c r="HQ96" i="47"/>
  <c r="HR96" i="47" s="1"/>
  <c r="IQ92" i="47"/>
  <c r="IR92" i="47" s="1"/>
  <c r="KV75" i="28"/>
  <c r="JV75" i="28"/>
  <c r="W23" i="71"/>
  <c r="F42" i="47"/>
  <c r="BS94" i="47"/>
  <c r="IV75" i="28"/>
  <c r="AQ92" i="47"/>
  <c r="AR92" i="47" s="1"/>
  <c r="LV5" i="28"/>
  <c r="KI5" i="28"/>
  <c r="B73" i="4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W24" i="70"/>
  <c r="W23" i="64"/>
  <c r="W22" i="66"/>
  <c r="X24" i="68"/>
  <c r="X27" i="72"/>
  <c r="W27" i="68"/>
  <c r="X24" i="66"/>
  <c r="DF93" i="47"/>
  <c r="JS104" i="47"/>
  <c r="CQ90" i="47"/>
  <c r="CR90" i="47" s="1"/>
  <c r="Q97" i="47"/>
  <c r="R97" i="47" s="1"/>
  <c r="BS95" i="47"/>
  <c r="DF99" i="47"/>
  <c r="EQ94" i="47"/>
  <c r="ER94" i="47" s="1"/>
  <c r="ES94" i="47"/>
  <c r="KD105" i="47"/>
  <c r="KE105" i="47" s="1"/>
  <c r="KF105" i="47"/>
  <c r="LS92" i="47"/>
  <c r="LQ92" i="47"/>
  <c r="LR92" i="47" s="1"/>
  <c r="W23" i="67"/>
  <c r="W22" i="67"/>
  <c r="DQ91" i="47"/>
  <c r="DR91" i="47" s="1"/>
  <c r="BQ91" i="47"/>
  <c r="BR91" i="47" s="1"/>
  <c r="CS94" i="47"/>
  <c r="ED103" i="47"/>
  <c r="EE103" i="47" s="1"/>
  <c r="EF103" i="47"/>
  <c r="IQ98" i="47"/>
  <c r="IR98" i="47" s="1"/>
  <c r="IS98" i="47"/>
  <c r="JQ96" i="47"/>
  <c r="JR96" i="47" s="1"/>
  <c r="JS96" i="47"/>
  <c r="Y23" i="67"/>
  <c r="S101" i="47"/>
  <c r="FS93" i="47"/>
  <c r="IS95" i="47"/>
  <c r="DV127" i="28"/>
  <c r="BI127" i="28"/>
  <c r="FS103" i="47"/>
  <c r="FQ103" i="47"/>
  <c r="FR103" i="47" s="1"/>
  <c r="X23" i="67"/>
  <c r="X22" i="67"/>
  <c r="CD104" i="47"/>
  <c r="CE104" i="47" s="1"/>
  <c r="LD97" i="47"/>
  <c r="LE97" i="47" s="1"/>
  <c r="BD103" i="47"/>
  <c r="BE103" i="47" s="1"/>
  <c r="AF92" i="47"/>
  <c r="AD92" i="47"/>
  <c r="AE92" i="47" s="1"/>
  <c r="DS94" i="47"/>
  <c r="DQ94" i="47"/>
  <c r="DR94" i="47" s="1"/>
  <c r="LD105" i="47"/>
  <c r="LE105" i="47" s="1"/>
  <c r="LF105" i="47"/>
  <c r="B56" i="48"/>
  <c r="LD103" i="47"/>
  <c r="LE103" i="47" s="1"/>
  <c r="X27" i="67"/>
  <c r="HF93" i="47"/>
  <c r="S104" i="47"/>
  <c r="LD90" i="47"/>
  <c r="LE90" i="47" s="1"/>
  <c r="AD97" i="47"/>
  <c r="AE97" i="47" s="1"/>
  <c r="CF98" i="47"/>
  <c r="HF103" i="47"/>
  <c r="HD103" i="47"/>
  <c r="HE103" i="47" s="1"/>
  <c r="ID92" i="47"/>
  <c r="IE92" i="47" s="1"/>
  <c r="IF92" i="47"/>
  <c r="F83" i="28"/>
  <c r="F83" i="47"/>
  <c r="KP83" i="47" s="1"/>
  <c r="JC86" i="47"/>
  <c r="KS99" i="47"/>
  <c r="CQ99" i="47"/>
  <c r="CR99" i="47" s="1"/>
  <c r="FS105" i="47"/>
  <c r="FQ105" i="47"/>
  <c r="FR105" i="47" s="1"/>
  <c r="ES96" i="47"/>
  <c r="GS94" i="47"/>
  <c r="KI40" i="28"/>
  <c r="FV40" i="28"/>
  <c r="JI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GD126" i="47"/>
  <c r="GE126" i="47" s="1"/>
  <c r="DD126" i="47"/>
  <c r="DE126" i="47" s="1"/>
  <c r="DS101" i="47"/>
  <c r="GF93" i="47"/>
  <c r="AF93" i="47"/>
  <c r="ES104" i="47"/>
  <c r="BD97" i="47"/>
  <c r="BE97" i="47" s="1"/>
  <c r="AQ91" i="47"/>
  <c r="AR91" i="47" s="1"/>
  <c r="BD99" i="47"/>
  <c r="BE99" i="47" s="1"/>
  <c r="BF99" i="47"/>
  <c r="JC85" i="47"/>
  <c r="JD85" i="47" s="1"/>
  <c r="W25" i="67"/>
  <c r="X25" i="67"/>
  <c r="Y27" i="67"/>
  <c r="GF126" i="47"/>
  <c r="MD102" i="47"/>
  <c r="ME102" i="47" s="1"/>
  <c r="AQ99" i="47"/>
  <c r="AR99" i="47" s="1"/>
  <c r="AS99" i="47"/>
  <c r="KF99" i="47"/>
  <c r="KD99" i="47"/>
  <c r="KE99" i="47" s="1"/>
  <c r="KD91" i="47"/>
  <c r="KE91" i="47" s="1"/>
  <c r="KF91" i="47"/>
  <c r="D14" i="67"/>
  <c r="X24" i="67"/>
  <c r="IQ126" i="47"/>
  <c r="IR126" i="47" s="1"/>
  <c r="CS104" i="47"/>
  <c r="DF97" i="47"/>
  <c r="BS97" i="47"/>
  <c r="DD100" i="47"/>
  <c r="DE100" i="47" s="1"/>
  <c r="IQ91" i="47"/>
  <c r="IR91" i="47" s="1"/>
  <c r="IS91" i="47"/>
  <c r="E74" i="33"/>
  <c r="D58" i="33" s="1"/>
  <c r="E58" i="33" s="1"/>
  <c r="C74" i="33"/>
  <c r="A58" i="33" s="1"/>
  <c r="C64" i="33" s="1"/>
  <c r="D48" i="33" s="1"/>
  <c r="C69" i="33"/>
  <c r="C68" i="33"/>
  <c r="Y24" i="67"/>
  <c r="F88" i="28"/>
  <c r="MC88" i="47"/>
  <c r="ME88" i="47" s="1"/>
  <c r="IS126" i="47"/>
  <c r="HQ90" i="47"/>
  <c r="HR90" i="47" s="1"/>
  <c r="MD100" i="47"/>
  <c r="ME100" i="47" s="1"/>
  <c r="GF95" i="47"/>
  <c r="JS99" i="47"/>
  <c r="JQ99" i="47"/>
  <c r="JR99" i="47" s="1"/>
  <c r="F85" i="28"/>
  <c r="IF126" i="47"/>
  <c r="BD90" i="47"/>
  <c r="BE90" i="47" s="1"/>
  <c r="KD93" i="47"/>
  <c r="KE93" i="47" s="1"/>
  <c r="DF90" i="47"/>
  <c r="GQ91" i="47"/>
  <c r="GR91" i="47" s="1"/>
  <c r="GS91" i="47"/>
  <c r="EF99" i="47"/>
  <c r="FI127" i="28"/>
  <c r="KD92" i="47"/>
  <c r="KE92" i="47" s="1"/>
  <c r="ID103" i="47"/>
  <c r="IE103" i="47" s="1"/>
  <c r="MD103" i="47"/>
  <c r="ME103" i="47" s="1"/>
  <c r="B9" i="48"/>
  <c r="BV127" i="28"/>
  <c r="ED92" i="47"/>
  <c r="EE92" i="47" s="1"/>
  <c r="BQ98" i="47"/>
  <c r="BR98" i="47" s="1"/>
  <c r="GD103" i="47"/>
  <c r="GE103" i="47" s="1"/>
  <c r="DQ105" i="47"/>
  <c r="DR105" i="47" s="1"/>
  <c r="DD94" i="47"/>
  <c r="DE94" i="47" s="1"/>
  <c r="HS94" i="47"/>
  <c r="CF99" i="47"/>
  <c r="HV127" i="28"/>
  <c r="LQ98" i="47"/>
  <c r="LR98" i="47" s="1"/>
  <c r="AD105" i="47"/>
  <c r="AE105" i="47" s="1"/>
  <c r="MF105" i="47"/>
  <c r="CQ98" i="47"/>
  <c r="CR98" i="47" s="1"/>
  <c r="GF92" i="47"/>
  <c r="EI127" i="28"/>
  <c r="O67" i="33"/>
  <c r="Q105" i="47"/>
  <c r="R105" i="47" s="1"/>
  <c r="LF92" i="47"/>
  <c r="HF96" i="47"/>
  <c r="KI19" i="28"/>
  <c r="KI33" i="28"/>
  <c r="LI5" i="28"/>
  <c r="KV19" i="28"/>
  <c r="KV5" i="28"/>
  <c r="KV33" i="28"/>
  <c r="LI19" i="28"/>
  <c r="LI54" i="28"/>
  <c r="HV26" i="47"/>
  <c r="LI12" i="47"/>
  <c r="X25" i="71"/>
  <c r="W24" i="65"/>
  <c r="Y24" i="66"/>
  <c r="X25" i="66"/>
  <c r="Y23" i="68"/>
  <c r="X25" i="68"/>
  <c r="HI26" i="47"/>
  <c r="IV12" i="47"/>
  <c r="KV5" i="47"/>
  <c r="X23" i="63"/>
  <c r="W24" i="64"/>
  <c r="KV12" i="47"/>
  <c r="Y27" i="62"/>
  <c r="X23" i="70"/>
  <c r="Y26" i="65"/>
  <c r="X24" i="65"/>
  <c r="W24" i="69"/>
  <c r="Y24" i="68"/>
  <c r="HI12" i="47"/>
  <c r="IV26"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AP88" i="47"/>
  <c r="KP88" i="47"/>
  <c r="JP88" i="47"/>
  <c r="G87" i="47"/>
  <c r="LC87" i="47" s="1"/>
  <c r="LF87" i="47" s="1"/>
  <c r="EF93" i="47"/>
  <c r="MF104" i="47"/>
  <c r="JF91" i="47"/>
  <c r="BP88" i="47"/>
  <c r="CP88" i="47"/>
  <c r="EC88" i="47"/>
  <c r="IP88" i="47"/>
  <c r="CC88" i="47"/>
  <c r="KC88" i="47"/>
  <c r="IC88" i="47"/>
  <c r="EP88" i="47"/>
  <c r="DC88" i="47"/>
  <c r="GC85" i="47"/>
  <c r="Q126" i="47"/>
  <c r="R126" i="47" s="1"/>
  <c r="IF91" i="47"/>
  <c r="ID91" i="47"/>
  <c r="IE91" i="47" s="1"/>
  <c r="U74" i="33"/>
  <c r="S58" i="33" s="1"/>
  <c r="W74" i="33"/>
  <c r="V58" i="33" s="1"/>
  <c r="U68" i="33"/>
  <c r="U67" i="33"/>
  <c r="U69" i="33"/>
  <c r="DP85" i="47"/>
  <c r="DS85" i="47" s="1"/>
  <c r="BC85" i="47"/>
  <c r="FQ91" i="47"/>
  <c r="FR91" i="47" s="1"/>
  <c r="BD91" i="47"/>
  <c r="BE91" i="47" s="1"/>
  <c r="AP85" i="47"/>
  <c r="HP88" i="47"/>
  <c r="KP85" i="47"/>
  <c r="KS85" i="47" s="1"/>
  <c r="JP85" i="47"/>
  <c r="LP85" i="47"/>
  <c r="LS85" i="47" s="1"/>
  <c r="EF126" i="47"/>
  <c r="DD101" i="47"/>
  <c r="DE101" i="47" s="1"/>
  <c r="BP85" i="47"/>
  <c r="CP85" i="47"/>
  <c r="EC85" i="47"/>
  <c r="IP85" i="47"/>
  <c r="CC85" i="47"/>
  <c r="KC85" i="47"/>
  <c r="IC85" i="47"/>
  <c r="EP85" i="47"/>
  <c r="GP88" i="47"/>
  <c r="DC85" i="47"/>
  <c r="DF85" i="47" s="1"/>
  <c r="FP85" i="47"/>
  <c r="FQ85" i="47" s="1"/>
  <c r="P85" i="47"/>
  <c r="Q85" i="47" s="1"/>
  <c r="FS97" i="47"/>
  <c r="BD100" i="47"/>
  <c r="BE100" i="47" s="1"/>
  <c r="HQ91" i="47"/>
  <c r="HR91" i="47" s="1"/>
  <c r="CS91" i="47"/>
  <c r="HP85" i="47"/>
  <c r="MD93" i="47"/>
  <c r="ME93" i="47" s="1"/>
  <c r="GF104" i="47"/>
  <c r="ID97" i="47"/>
  <c r="IE97" i="47" s="1"/>
  <c r="N64" i="33"/>
  <c r="Y48" i="33" s="1"/>
  <c r="N59" i="33"/>
  <c r="N58" i="33"/>
  <c r="O64" i="33"/>
  <c r="AB48" i="33" s="1"/>
  <c r="N57" i="33"/>
  <c r="Q64" i="33"/>
  <c r="AE48" i="33" s="1"/>
  <c r="R64" i="33"/>
  <c r="AH48" i="33" s="1"/>
  <c r="Q59" i="33"/>
  <c r="Q57" i="33"/>
  <c r="Q58" i="33"/>
  <c r="I67" i="33"/>
  <c r="I68" i="33"/>
  <c r="I74" i="33"/>
  <c r="G58" i="33" s="1"/>
  <c r="K74" i="33"/>
  <c r="J58" i="33" s="1"/>
  <c r="I69" i="33"/>
  <c r="DP88" i="47"/>
  <c r="BC88" i="47"/>
  <c r="GP85" i="47"/>
  <c r="HC85" i="47"/>
  <c r="HD85" i="47" s="1"/>
  <c r="DF91" i="47"/>
  <c r="B40" i="48"/>
  <c r="B94" i="48"/>
  <c r="T22" i="33"/>
  <c r="AF98" i="47"/>
  <c r="IQ103" i="47"/>
  <c r="IR103" i="47" s="1"/>
  <c r="JS92" i="47"/>
  <c r="FD96" i="47"/>
  <c r="FE96" i="47" s="1"/>
  <c r="FQ94" i="47"/>
  <c r="FR94" i="47" s="1"/>
  <c r="C67" i="33"/>
  <c r="KF98" i="47"/>
  <c r="B22" i="48"/>
  <c r="HF98" i="47"/>
  <c r="DQ92" i="47"/>
  <c r="DR92" i="47" s="1"/>
  <c r="HQ103" i="47"/>
  <c r="HR103" i="47" s="1"/>
  <c r="KQ98" i="47"/>
  <c r="KR98" i="47" s="1"/>
  <c r="IQ94" i="47"/>
  <c r="IR94" i="47" s="1"/>
  <c r="EQ105" i="47"/>
  <c r="ER105" i="47" s="1"/>
  <c r="ID96" i="47"/>
  <c r="IE96" i="47" s="1"/>
  <c r="JF103" i="47"/>
  <c r="LS103" i="47"/>
  <c r="S103" i="47"/>
  <c r="CS103" i="47"/>
  <c r="DF98" i="47"/>
  <c r="DS98" i="47"/>
  <c r="FS92" i="47"/>
  <c r="JQ105" i="47"/>
  <c r="JR105" i="47" s="1"/>
  <c r="BS105" i="47"/>
  <c r="ES98" i="47"/>
  <c r="GQ92" i="47"/>
  <c r="GR92" i="47" s="1"/>
  <c r="FF105" i="47"/>
  <c r="B21" i="48"/>
  <c r="LS105" i="47"/>
  <c r="ED94" i="47"/>
  <c r="EE94" i="47" s="1"/>
  <c r="AQ94" i="47"/>
  <c r="AR94" i="47" s="1"/>
  <c r="BG130" i="28"/>
  <c r="BG131" i="28" s="1"/>
  <c r="GT130" i="28"/>
  <c r="GT131" i="28" s="1"/>
  <c r="FF103" i="47"/>
  <c r="KV61" i="28"/>
  <c r="LI12" i="28"/>
  <c r="KI12" i="28"/>
  <c r="KV12" i="28"/>
  <c r="LI61" i="28"/>
  <c r="KI61" i="28"/>
  <c r="KI47" i="28"/>
  <c r="LI47" i="28"/>
  <c r="LV47" i="28"/>
  <c r="IV61" i="47"/>
  <c r="JI33" i="47"/>
  <c r="KI47" i="47"/>
  <c r="JV47" i="47"/>
  <c r="X27" i="69"/>
  <c r="Y27" i="69"/>
  <c r="W27" i="69"/>
  <c r="X27" i="66"/>
  <c r="Y27" i="66"/>
  <c r="W27" i="66"/>
  <c r="LV33" i="47"/>
  <c r="KI33" i="47"/>
  <c r="X27" i="64"/>
  <c r="Y27" i="64"/>
  <c r="W27" i="64"/>
  <c r="JV33" i="47"/>
  <c r="KI61" i="47"/>
  <c r="LV61" i="47"/>
  <c r="W25" i="72"/>
  <c r="X25" i="72"/>
  <c r="Y25" i="72"/>
  <c r="LV47" i="47"/>
  <c r="LI47" i="47"/>
  <c r="Y26" i="68"/>
  <c r="W26" i="68"/>
  <c r="X26" i="68"/>
  <c r="I49" i="22"/>
  <c r="X22" i="69"/>
  <c r="Y22" i="69"/>
  <c r="W22" i="72"/>
  <c r="Y22" i="72"/>
  <c r="I48" i="22"/>
  <c r="J70" i="22"/>
  <c r="H24" i="3"/>
  <c r="I25" i="22"/>
  <c r="X22" i="63"/>
  <c r="Y22" i="63"/>
  <c r="Y27" i="65"/>
  <c r="W27" i="65"/>
  <c r="X26" i="72"/>
  <c r="Y26" i="72"/>
  <c r="X25" i="62"/>
  <c r="Y23" i="69"/>
  <c r="W22" i="63"/>
  <c r="W22" i="70"/>
  <c r="X23" i="64"/>
  <c r="W26" i="69"/>
  <c r="Y26" i="66"/>
  <c r="W27" i="62"/>
  <c r="Y22" i="70"/>
  <c r="W27" i="72"/>
  <c r="W23" i="72"/>
  <c r="J63" i="22"/>
  <c r="X27" i="68"/>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MD101" i="47"/>
  <c r="ME101" i="47" s="1"/>
  <c r="MF101" i="47"/>
  <c r="BQ99" i="47"/>
  <c r="BR99" i="47" s="1"/>
  <c r="BS99" i="47"/>
  <c r="BS126" i="47"/>
  <c r="BQ126" i="47"/>
  <c r="BR126" i="47" s="1"/>
  <c r="CS126" i="47"/>
  <c r="MD126" i="47"/>
  <c r="ME126" i="47" s="1"/>
  <c r="ED100" i="47"/>
  <c r="EE100" i="47" s="1"/>
  <c r="EF100" i="47"/>
  <c r="KQ91" i="47"/>
  <c r="KR91" i="47" s="1"/>
  <c r="KS91" i="47"/>
  <c r="LS99" i="47"/>
  <c r="LQ99" i="47"/>
  <c r="LR99" i="47" s="1"/>
  <c r="AD100" i="47"/>
  <c r="AE100" i="47" s="1"/>
  <c r="AF100" i="47"/>
  <c r="JF126" i="47"/>
  <c r="JD126" i="47"/>
  <c r="JE126" i="47" s="1"/>
  <c r="FS126" i="47"/>
  <c r="GQ126" i="47"/>
  <c r="GR126" i="47" s="1"/>
  <c r="BS93" i="47"/>
  <c r="BQ93" i="47"/>
  <c r="BR93" i="47" s="1"/>
  <c r="JS93" i="47"/>
  <c r="JQ93" i="47"/>
  <c r="JR93" i="47" s="1"/>
  <c r="S102" i="47"/>
  <c r="Q102" i="47"/>
  <c r="R102" i="47" s="1"/>
  <c r="GD102" i="47"/>
  <c r="GE102" i="47" s="1"/>
  <c r="GF102" i="47"/>
  <c r="JS97" i="47"/>
  <c r="JQ97" i="47"/>
  <c r="JR97" i="47" s="1"/>
  <c r="DS95" i="47"/>
  <c r="DQ95" i="47"/>
  <c r="DR95" i="47" s="1"/>
  <c r="ES95" i="47"/>
  <c r="EQ95" i="47"/>
  <c r="ER95" i="47" s="1"/>
  <c r="LF91" i="47"/>
  <c r="LD91" i="47"/>
  <c r="LE91" i="47" s="1"/>
  <c r="BF126" i="47"/>
  <c r="CD126" i="47"/>
  <c r="CE126" i="47" s="1"/>
  <c r="JS126" i="47"/>
  <c r="JQ126" i="47"/>
  <c r="JR126" i="47" s="1"/>
  <c r="CD100" i="47"/>
  <c r="CE100" i="47" s="1"/>
  <c r="CF100" i="47"/>
  <c r="KS104" i="47"/>
  <c r="KQ104" i="47"/>
  <c r="KR104" i="47" s="1"/>
  <c r="JF104" i="47"/>
  <c r="JD104" i="47"/>
  <c r="JE104" i="47" s="1"/>
  <c r="ID104" i="47"/>
  <c r="IE104" i="47" s="1"/>
  <c r="IF104" i="47"/>
  <c r="Q100" i="47"/>
  <c r="R100" i="47" s="1"/>
  <c r="S100" i="47"/>
  <c r="HF101" i="47"/>
  <c r="EQ101" i="47"/>
  <c r="ER101" i="47" s="1"/>
  <c r="HF104" i="47"/>
  <c r="FD97" i="47"/>
  <c r="FE97" i="47" s="1"/>
  <c r="KF97" i="47"/>
  <c r="BS100" i="47"/>
  <c r="FS100" i="47"/>
  <c r="GF100" i="47"/>
  <c r="GD99" i="47"/>
  <c r="GE99" i="47" s="1"/>
  <c r="AD99" i="47"/>
  <c r="AE99" i="47" s="1"/>
  <c r="GF91" i="47"/>
  <c r="GS100" i="47"/>
  <c r="HS99" i="47"/>
  <c r="CF91" i="47"/>
  <c r="EQ91" i="47"/>
  <c r="ER91" i="47" s="1"/>
  <c r="CD13" i="47"/>
  <c r="CF13" i="47"/>
  <c r="AQ97" i="47"/>
  <c r="AR97" i="47" s="1"/>
  <c r="DQ93" i="47"/>
  <c r="DR93" i="47" s="1"/>
  <c r="DQ104" i="47"/>
  <c r="DR104" i="47" s="1"/>
  <c r="EQ97" i="47"/>
  <c r="ER97" i="47" s="1"/>
  <c r="GQ97" i="47"/>
  <c r="GR97" i="47" s="1"/>
  <c r="JQ100" i="47"/>
  <c r="JR100" i="47" s="1"/>
  <c r="AD95" i="47"/>
  <c r="AE95" i="47" s="1"/>
  <c r="Q91" i="47"/>
  <c r="R91" i="47" s="1"/>
  <c r="BF98" i="47"/>
  <c r="BD98" i="47"/>
  <c r="BE98" i="47" s="1"/>
  <c r="JF92" i="47"/>
  <c r="JD92" i="47"/>
  <c r="JE92" i="47" s="1"/>
  <c r="S94" i="47"/>
  <c r="Q94" i="47"/>
  <c r="R94" i="47" s="1"/>
  <c r="FD94" i="47"/>
  <c r="FE94" i="47" s="1"/>
  <c r="FF94" i="47"/>
  <c r="ID105" i="47"/>
  <c r="IE105" i="47" s="1"/>
  <c r="IF105" i="47"/>
  <c r="HD94" i="47"/>
  <c r="HE94" i="47" s="1"/>
  <c r="HF94" i="47"/>
  <c r="ID94" i="47"/>
  <c r="IE94" i="47" s="1"/>
  <c r="IF94" i="47"/>
  <c r="T130" i="28"/>
  <c r="T131" i="28" s="1"/>
  <c r="GF98" i="47"/>
  <c r="GD98" i="47"/>
  <c r="GE98" i="47" s="1"/>
  <c r="JS98" i="47"/>
  <c r="JQ98" i="47"/>
  <c r="JR98" i="47" s="1"/>
  <c r="AG130" i="28"/>
  <c r="AG131" i="28" s="1"/>
  <c r="AT130" i="28"/>
  <c r="AT131" i="28" s="1"/>
  <c r="BT130" i="28"/>
  <c r="BT131" i="28" s="1"/>
  <c r="CG130" i="28"/>
  <c r="CG131" i="28" s="1"/>
  <c r="DT130" i="28"/>
  <c r="DT131" i="28" s="1"/>
  <c r="EG130" i="28"/>
  <c r="EG131" i="28" s="1"/>
  <c r="FG130" i="28"/>
  <c r="FG131" i="28" s="1"/>
  <c r="FT130" i="28"/>
  <c r="FT131" i="28" s="1"/>
  <c r="HG130" i="28"/>
  <c r="HG131" i="28" s="1"/>
  <c r="HT130" i="28"/>
  <c r="HT131" i="28" s="1"/>
  <c r="JG130" i="28"/>
  <c r="JG131" i="28" s="1"/>
  <c r="KT130" i="28"/>
  <c r="KT131" i="28" s="1"/>
  <c r="LG130" i="28"/>
  <c r="LG131" i="28" s="1"/>
  <c r="KD103" i="47"/>
  <c r="KE103" i="47" s="1"/>
  <c r="KF103" i="47"/>
  <c r="CD103" i="47"/>
  <c r="CE103" i="47" s="1"/>
  <c r="KF94" i="47"/>
  <c r="AD103" i="47"/>
  <c r="AE103" i="47" s="1"/>
  <c r="JF105" i="47"/>
  <c r="GQ98" i="47"/>
  <c r="GR98" i="47" s="1"/>
  <c r="BF94" i="47"/>
  <c r="CF92" i="47"/>
  <c r="BQ92" i="47"/>
  <c r="BR92" i="47" s="1"/>
  <c r="BD92" i="47"/>
  <c r="BE92" i="47" s="1"/>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P64" i="28" l="1"/>
  <c r="JC64" i="28"/>
  <c r="FO128" i="47"/>
  <c r="FO129" i="47" s="1"/>
  <c r="MB128" i="47"/>
  <c r="MB129" i="47" s="1"/>
  <c r="KS93" i="47"/>
  <c r="EF90" i="47"/>
  <c r="HC64" i="28"/>
  <c r="GC64" i="28"/>
  <c r="GD64" i="28" s="1"/>
  <c r="P64" i="28"/>
  <c r="FQ124" i="47"/>
  <c r="FR124" i="47" s="1"/>
  <c r="GP64" i="28"/>
  <c r="DC64" i="28"/>
  <c r="DF64" i="28" s="1"/>
  <c r="EP64" i="28"/>
  <c r="KQ105" i="47"/>
  <c r="KR105" i="47" s="1"/>
  <c r="AP64" i="28"/>
  <c r="IP64" i="28"/>
  <c r="ID93" i="47"/>
  <c r="IE93" i="47" s="1"/>
  <c r="CC64" i="28"/>
  <c r="CE64" i="28" s="1"/>
  <c r="KC64" i="28"/>
  <c r="AS101" i="47"/>
  <c r="IO128" i="47"/>
  <c r="IO129" i="47" s="1"/>
  <c r="MD124" i="47"/>
  <c r="ME124" i="47" s="1"/>
  <c r="IQ124" i="47"/>
  <c r="IR124" i="47" s="1"/>
  <c r="MD95" i="47"/>
  <c r="ME95" i="47" s="1"/>
  <c r="IS96" i="47"/>
  <c r="HP64" i="28"/>
  <c r="HS64" i="28" s="1"/>
  <c r="LC64" i="28"/>
  <c r="JP64" i="28"/>
  <c r="EC64" i="28"/>
  <c r="HF13" i="47"/>
  <c r="JQ95" i="47"/>
  <c r="JR95" i="47" s="1"/>
  <c r="KP64" i="28"/>
  <c r="FC64" i="28"/>
  <c r="EQ90" i="47"/>
  <c r="ER90" i="47" s="1"/>
  <c r="HE13" i="47"/>
  <c r="CP64" i="28"/>
  <c r="CR64" i="28" s="1"/>
  <c r="LP64" i="28"/>
  <c r="CD101" i="47"/>
  <c r="CE101" i="47" s="1"/>
  <c r="JF101" i="47"/>
  <c r="DQ99" i="47"/>
  <c r="DR99" i="47" s="1"/>
  <c r="MC64" i="28"/>
  <c r="IC64" i="28"/>
  <c r="ES99" i="47"/>
  <c r="JD96" i="47"/>
  <c r="JE96" i="47" s="1"/>
  <c r="GS99" i="47"/>
  <c r="BC64" i="28"/>
  <c r="FP64" i="28"/>
  <c r="HP69" i="28"/>
  <c r="HS69" i="28" s="1"/>
  <c r="AC64" i="28"/>
  <c r="AD64" i="28" s="1"/>
  <c r="HD99" i="47"/>
  <c r="HE99" i="47" s="1"/>
  <c r="JF95" i="47"/>
  <c r="FD99" i="47"/>
  <c r="FE99" i="47" s="1"/>
  <c r="Q90" i="47"/>
  <c r="R90" i="47" s="1"/>
  <c r="FD102" i="47"/>
  <c r="FE102" i="47" s="1"/>
  <c r="BF105" i="47"/>
  <c r="GS95" i="47"/>
  <c r="DF102" i="47"/>
  <c r="DF95" i="47"/>
  <c r="MD99" i="47"/>
  <c r="ME99" i="47" s="1"/>
  <c r="HQ101" i="47"/>
  <c r="HR101" i="47" s="1"/>
  <c r="IQ105" i="47"/>
  <c r="IR105" i="47" s="1"/>
  <c r="AD101" i="47"/>
  <c r="AE101" i="47" s="1"/>
  <c r="MD90" i="47"/>
  <c r="ME90" i="47" s="1"/>
  <c r="HQ102" i="47"/>
  <c r="HR102" i="47" s="1"/>
  <c r="LF93" i="47"/>
  <c r="CF105" i="47"/>
  <c r="HF95" i="47"/>
  <c r="AS105" i="47"/>
  <c r="FS96" i="47"/>
  <c r="CS101" i="47"/>
  <c r="Q96" i="47"/>
  <c r="R96" i="47" s="1"/>
  <c r="GF96" i="47"/>
  <c r="ES102" i="47"/>
  <c r="GD105" i="47"/>
  <c r="GE105" i="47" s="1"/>
  <c r="KQ95" i="47"/>
  <c r="KR95" i="47" s="1"/>
  <c r="BQ102" i="47"/>
  <c r="BR102" i="47" s="1"/>
  <c r="LS95" i="47"/>
  <c r="CF96" i="47"/>
  <c r="BF96" i="47"/>
  <c r="GQ101" i="47"/>
  <c r="GR101" i="47" s="1"/>
  <c r="FQ95" i="47"/>
  <c r="FR95" i="47" s="1"/>
  <c r="BF124" i="47"/>
  <c r="AS96" i="47"/>
  <c r="AD96" i="47"/>
  <c r="AE96" i="47" s="1"/>
  <c r="BD101" i="47"/>
  <c r="BE101" i="47" s="1"/>
  <c r="Q95" i="47"/>
  <c r="R95" i="47" s="1"/>
  <c r="ID95" i="47"/>
  <c r="IE95" i="47" s="1"/>
  <c r="LD95" i="47"/>
  <c r="LE95" i="47" s="1"/>
  <c r="FQ101" i="47"/>
  <c r="FR101" i="47" s="1"/>
  <c r="JD102" i="47"/>
  <c r="JE102" i="47" s="1"/>
  <c r="CB128" i="47"/>
  <c r="CB129" i="47" s="1"/>
  <c r="AF124" i="47"/>
  <c r="AB128" i="47"/>
  <c r="AB129" i="47" s="1"/>
  <c r="EO128" i="47"/>
  <c r="EO129" i="47" s="1"/>
  <c r="EQ124" i="47"/>
  <c r="ER124" i="47" s="1"/>
  <c r="AF90" i="47"/>
  <c r="AS90" i="47"/>
  <c r="KD90" i="47"/>
  <c r="KE90" i="47" s="1"/>
  <c r="KO128" i="47"/>
  <c r="KO129" i="47" s="1"/>
  <c r="KQ124" i="47"/>
  <c r="KR124" i="47" s="1"/>
  <c r="CF124" i="47"/>
  <c r="FB128" i="47"/>
  <c r="FB129" i="47" s="1"/>
  <c r="IF124" i="47"/>
  <c r="FD124" i="47"/>
  <c r="FE124" i="47" s="1"/>
  <c r="IB128" i="47"/>
  <c r="IB129" i="47" s="1"/>
  <c r="LB128" i="47"/>
  <c r="LB129" i="47" s="1"/>
  <c r="LF124" i="47"/>
  <c r="CO128" i="47"/>
  <c r="CO129" i="47" s="1"/>
  <c r="CQ124" i="47"/>
  <c r="CR124" i="47" s="1"/>
  <c r="GC71" i="47"/>
  <c r="GE71" i="47" s="1"/>
  <c r="DP71" i="47"/>
  <c r="DR71" i="47" s="1"/>
  <c r="IF90" i="47"/>
  <c r="CP71" i="47"/>
  <c r="CQ71" i="47" s="1"/>
  <c r="P71" i="47"/>
  <c r="R71" i="47" s="1"/>
  <c r="IP71" i="47"/>
  <c r="IS71" i="47" s="1"/>
  <c r="GP71" i="47"/>
  <c r="LP71" i="47"/>
  <c r="HC71" i="47"/>
  <c r="HE71" i="47" s="1"/>
  <c r="ED102" i="47"/>
  <c r="EE102" i="47" s="1"/>
  <c r="DF96" i="47"/>
  <c r="AC71" i="47"/>
  <c r="AD71" i="47" s="1"/>
  <c r="CS96" i="47"/>
  <c r="MC71" i="47"/>
  <c r="MD71" i="47" s="1"/>
  <c r="CD102" i="47"/>
  <c r="CE102" i="47" s="1"/>
  <c r="FC71" i="47"/>
  <c r="FD71" i="47" s="1"/>
  <c r="HP71" i="47"/>
  <c r="HR71" i="47" s="1"/>
  <c r="KC71" i="47"/>
  <c r="KE71" i="47" s="1"/>
  <c r="BC71" i="47"/>
  <c r="GQ124" i="47"/>
  <c r="GR124" i="47" s="1"/>
  <c r="GO128" i="47"/>
  <c r="GO129" i="47" s="1"/>
  <c r="BB128" i="47"/>
  <c r="BB129" i="47" s="1"/>
  <c r="DS124" i="47"/>
  <c r="BQ124" i="47"/>
  <c r="BR124" i="47" s="1"/>
  <c r="AQ124" i="47"/>
  <c r="AR124" i="47" s="1"/>
  <c r="GF124" i="47"/>
  <c r="DB128" i="47"/>
  <c r="DB129" i="47" s="1"/>
  <c r="IQ90" i="47"/>
  <c r="IR90" i="47" s="1"/>
  <c r="KS96" i="47"/>
  <c r="AO128" i="47"/>
  <c r="AO129" i="47" s="1"/>
  <c r="DD124" i="47"/>
  <c r="DE124" i="47" s="1"/>
  <c r="LF96" i="47"/>
  <c r="GD124" i="47"/>
  <c r="GE124" i="47" s="1"/>
  <c r="ED124" i="47"/>
  <c r="EE124" i="47" s="1"/>
  <c r="BO128" i="47"/>
  <c r="BO129" i="47" s="1"/>
  <c r="EB128" i="47"/>
  <c r="EB129" i="47" s="1"/>
  <c r="GF90" i="47"/>
  <c r="EF96" i="47"/>
  <c r="HS124" i="47"/>
  <c r="HD102" i="47"/>
  <c r="HE102" i="47" s="1"/>
  <c r="KB128" i="47"/>
  <c r="KB129" i="47" s="1"/>
  <c r="AQ102" i="47"/>
  <c r="AR102" i="47" s="1"/>
  <c r="HO128" i="47"/>
  <c r="HO129" i="47" s="1"/>
  <c r="KD124" i="47"/>
  <c r="KE124" i="47" s="1"/>
  <c r="JQ90" i="47"/>
  <c r="JR90" i="47" s="1"/>
  <c r="DQ96" i="47"/>
  <c r="DR96" i="47" s="1"/>
  <c r="FQ90" i="47"/>
  <c r="FR90" i="47" s="1"/>
  <c r="HD124" i="47"/>
  <c r="HE124" i="47" s="1"/>
  <c r="BS90" i="47"/>
  <c r="DO128" i="47"/>
  <c r="DO129" i="47" s="1"/>
  <c r="JS124" i="47"/>
  <c r="AF102" i="47"/>
  <c r="HB128" i="47"/>
  <c r="HB129" i="47" s="1"/>
  <c r="JO128" i="47"/>
  <c r="JO129" i="47" s="1"/>
  <c r="LQ102" i="47"/>
  <c r="LR102" i="47" s="1"/>
  <c r="BQ96" i="47"/>
  <c r="BR96" i="47" s="1"/>
  <c r="FF90" i="47"/>
  <c r="LS124" i="47"/>
  <c r="LO128" i="47"/>
  <c r="LO129" i="47" s="1"/>
  <c r="O128" i="47"/>
  <c r="O129" i="47" s="1"/>
  <c r="S124" i="47"/>
  <c r="JD124" i="47"/>
  <c r="JE124" i="47" s="1"/>
  <c r="JF124" i="47"/>
  <c r="GQ102" i="47"/>
  <c r="GR102" i="47" s="1"/>
  <c r="CS102" i="47"/>
  <c r="FQ102" i="47"/>
  <c r="FR102" i="47" s="1"/>
  <c r="JQ102" i="47"/>
  <c r="JR102" i="47" s="1"/>
  <c r="MD96" i="47"/>
  <c r="ME96" i="47" s="1"/>
  <c r="LQ96" i="47"/>
  <c r="LR96" i="47" s="1"/>
  <c r="CF90" i="47"/>
  <c r="HF90" i="47"/>
  <c r="LS90" i="47"/>
  <c r="Q22" i="66"/>
  <c r="E69" i="47" s="1"/>
  <c r="FY69" i="47" s="1"/>
  <c r="P23" i="66"/>
  <c r="CP27" i="28"/>
  <c r="CQ27" i="28" s="1"/>
  <c r="P79" i="28"/>
  <c r="R79" i="28" s="1"/>
  <c r="JC79" i="28"/>
  <c r="JF79" i="28" s="1"/>
  <c r="EC27" i="28"/>
  <c r="DC27" i="28"/>
  <c r="DE27" i="28" s="1"/>
  <c r="HC27" i="28"/>
  <c r="HF27" i="28" s="1"/>
  <c r="GC27" i="28"/>
  <c r="GD27" i="28" s="1"/>
  <c r="KP27" i="28"/>
  <c r="KS27" i="28" s="1"/>
  <c r="GP79" i="28"/>
  <c r="GR79" i="28" s="1"/>
  <c r="DP79" i="28"/>
  <c r="DR79" i="28" s="1"/>
  <c r="MC79" i="28"/>
  <c r="ME79" i="28" s="1"/>
  <c r="DC79" i="28"/>
  <c r="DE79" i="28" s="1"/>
  <c r="IQ13" i="47"/>
  <c r="IP79" i="28"/>
  <c r="IR79" i="28" s="1"/>
  <c r="AC79" i="28"/>
  <c r="AE79" i="28" s="1"/>
  <c r="BC79" i="28"/>
  <c r="BF79" i="28" s="1"/>
  <c r="LP79" i="28"/>
  <c r="LR79" i="28" s="1"/>
  <c r="AP79" i="28"/>
  <c r="AQ79" i="28" s="1"/>
  <c r="P23" i="70"/>
  <c r="C28" i="28" s="1"/>
  <c r="KP79" i="28"/>
  <c r="KS79" i="28" s="1"/>
  <c r="CC79" i="28"/>
  <c r="CE79" i="28" s="1"/>
  <c r="JP79" i="28"/>
  <c r="JR79" i="28" s="1"/>
  <c r="CE80" i="47"/>
  <c r="CF80" i="47"/>
  <c r="LF6" i="47"/>
  <c r="LD6" i="47"/>
  <c r="AF6" i="47"/>
  <c r="HS13" i="47"/>
  <c r="FC41" i="28"/>
  <c r="FE41" i="28" s="1"/>
  <c r="CC41" i="28"/>
  <c r="CE41" i="28" s="1"/>
  <c r="BP41" i="28"/>
  <c r="BR41" i="28" s="1"/>
  <c r="KC41" i="28"/>
  <c r="KD41" i="28" s="1"/>
  <c r="P41" i="28"/>
  <c r="Q41" i="28" s="1"/>
  <c r="GP41" i="28"/>
  <c r="GQ41" i="28" s="1"/>
  <c r="FP79" i="28"/>
  <c r="FR79" i="28" s="1"/>
  <c r="CP79" i="28"/>
  <c r="CS79" i="28" s="1"/>
  <c r="EP79" i="28"/>
  <c r="ES79" i="28" s="1"/>
  <c r="KC79" i="28"/>
  <c r="KF79" i="28" s="1"/>
  <c r="EC79" i="28"/>
  <c r="EF79" i="28" s="1"/>
  <c r="IC79" i="28"/>
  <c r="ID79" i="28" s="1"/>
  <c r="BP79" i="28"/>
  <c r="BQ79" i="28" s="1"/>
  <c r="LC79" i="28"/>
  <c r="LE79" i="28" s="1"/>
  <c r="HC79" i="28"/>
  <c r="HE79" i="28" s="1"/>
  <c r="HP79" i="28"/>
  <c r="HQ79" i="28" s="1"/>
  <c r="FC79" i="28"/>
  <c r="FD79" i="28" s="1"/>
  <c r="KF28" i="47"/>
  <c r="JC27" i="28"/>
  <c r="JF27" i="28" s="1"/>
  <c r="EP27" i="28"/>
  <c r="EQ27" i="28" s="1"/>
  <c r="IC27" i="28"/>
  <c r="IE27" i="28" s="1"/>
  <c r="AF10" i="47"/>
  <c r="AC27" i="28"/>
  <c r="AD27" i="28" s="1"/>
  <c r="P27" i="28"/>
  <c r="S27" i="28" s="1"/>
  <c r="HP27" i="28"/>
  <c r="HQ27" i="28" s="1"/>
  <c r="IC41" i="28"/>
  <c r="ID41" i="28" s="1"/>
  <c r="KP41" i="28"/>
  <c r="KQ41" i="28" s="1"/>
  <c r="LC41" i="28"/>
  <c r="LE41" i="28" s="1"/>
  <c r="FP27" i="28"/>
  <c r="FS27" i="28" s="1"/>
  <c r="AP27" i="28"/>
  <c r="AR27" i="28" s="1"/>
  <c r="AC41" i="28"/>
  <c r="AE41" i="28" s="1"/>
  <c r="JC41" i="28"/>
  <c r="JD41" i="28" s="1"/>
  <c r="FP41" i="28"/>
  <c r="FR41" i="28" s="1"/>
  <c r="IP27" i="28"/>
  <c r="IQ27" i="28" s="1"/>
  <c r="JP27" i="28"/>
  <c r="JQ27" i="28" s="1"/>
  <c r="HC41" i="28"/>
  <c r="HF41" i="28" s="1"/>
  <c r="IP41" i="28"/>
  <c r="IS41" i="28" s="1"/>
  <c r="GC41" i="28"/>
  <c r="GD41" i="28" s="1"/>
  <c r="FC27" i="28"/>
  <c r="FE27" i="28" s="1"/>
  <c r="CC27" i="28"/>
  <c r="CF27" i="28" s="1"/>
  <c r="DP41" i="28"/>
  <c r="DQ41" i="28" s="1"/>
  <c r="HP41" i="28"/>
  <c r="HR41" i="28" s="1"/>
  <c r="DP27" i="28"/>
  <c r="DQ27" i="28" s="1"/>
  <c r="LP27" i="28"/>
  <c r="LR27" i="28" s="1"/>
  <c r="MC41" i="28"/>
  <c r="MD41" i="28" s="1"/>
  <c r="EP41" i="28"/>
  <c r="ES41" i="28" s="1"/>
  <c r="LC27" i="28"/>
  <c r="LD27" i="28" s="1"/>
  <c r="MC27" i="28"/>
  <c r="ME27" i="28" s="1"/>
  <c r="JP41" i="28"/>
  <c r="JQ41" i="28" s="1"/>
  <c r="LP41" i="28"/>
  <c r="LQ41" i="28" s="1"/>
  <c r="KC27" i="28"/>
  <c r="KE27" i="28" s="1"/>
  <c r="BC27" i="28"/>
  <c r="BD27" i="28" s="1"/>
  <c r="BP27" i="28"/>
  <c r="BQ27" i="28" s="1"/>
  <c r="IF10" i="47"/>
  <c r="AP41" i="28"/>
  <c r="AQ41" i="28" s="1"/>
  <c r="CP41" i="28"/>
  <c r="CR41" i="28" s="1"/>
  <c r="BC41" i="28"/>
  <c r="BD41" i="28" s="1"/>
  <c r="MC80" i="28"/>
  <c r="MF80" i="28" s="1"/>
  <c r="DC41" i="28"/>
  <c r="DF41" i="28" s="1"/>
  <c r="JP71" i="47"/>
  <c r="JQ71" i="47" s="1"/>
  <c r="KC29" i="28"/>
  <c r="KE29" i="28" s="1"/>
  <c r="BP29" i="28"/>
  <c r="BS29" i="28" s="1"/>
  <c r="KF13" i="47"/>
  <c r="KE13" i="47"/>
  <c r="JC29" i="28"/>
  <c r="JD29" i="28" s="1"/>
  <c r="CC29" i="28"/>
  <c r="CF29" i="28" s="1"/>
  <c r="DC29" i="28"/>
  <c r="DF29" i="28" s="1"/>
  <c r="CC71" i="47"/>
  <c r="CE71" i="47" s="1"/>
  <c r="LC71" i="47"/>
  <c r="LF71" i="47" s="1"/>
  <c r="JC71" i="47"/>
  <c r="JD71" i="47" s="1"/>
  <c r="HE6" i="47"/>
  <c r="P25" i="61"/>
  <c r="C9" i="47" s="1"/>
  <c r="EC71" i="47"/>
  <c r="EE71" i="47" s="1"/>
  <c r="IC71" i="47"/>
  <c r="ID71" i="47" s="1"/>
  <c r="BP71" i="47"/>
  <c r="BQ71" i="47" s="1"/>
  <c r="EP71" i="47"/>
  <c r="Z31" i="33"/>
  <c r="I84" i="48"/>
  <c r="I150" i="48"/>
  <c r="AI106" i="47"/>
  <c r="FI106" i="47"/>
  <c r="Z36" i="33"/>
  <c r="D33" i="26"/>
  <c r="J14" i="22" s="1"/>
  <c r="R13" i="33" s="1"/>
  <c r="E33" i="74" s="1"/>
  <c r="D60" i="26"/>
  <c r="H21" i="3" s="1"/>
  <c r="D42" i="26"/>
  <c r="D5" i="65" s="1"/>
  <c r="Q5" i="65" s="1"/>
  <c r="I8" i="48"/>
  <c r="D38" i="26"/>
  <c r="I66" i="22" s="1"/>
  <c r="T33" i="33" s="1"/>
  <c r="D44" i="74" s="1"/>
  <c r="I50" i="48"/>
  <c r="W21" i="33"/>
  <c r="D14" i="26"/>
  <c r="J30" i="22" s="1"/>
  <c r="F28" i="33" s="1"/>
  <c r="E11" i="74" s="1"/>
  <c r="I49" i="48"/>
  <c r="W26" i="33"/>
  <c r="D49" i="26"/>
  <c r="D64" i="26"/>
  <c r="I24" i="22" s="1"/>
  <c r="AI18" i="33" s="1"/>
  <c r="D70" i="74" s="1"/>
  <c r="B21" i="33"/>
  <c r="I37" i="48"/>
  <c r="JV40" i="28"/>
  <c r="LV40" i="28"/>
  <c r="EI40" i="28"/>
  <c r="KP126" i="47"/>
  <c r="FI40" i="28"/>
  <c r="KS10" i="47"/>
  <c r="GV40" i="28"/>
  <c r="D25" i="26"/>
  <c r="J9" i="22" s="1"/>
  <c r="N10" i="48"/>
  <c r="AZ10" i="33" s="1"/>
  <c r="I9" i="48"/>
  <c r="H16" i="33"/>
  <c r="IV40" i="28"/>
  <c r="I51" i="48"/>
  <c r="Q21" i="33"/>
  <c r="HV40" i="28"/>
  <c r="KE10" i="47"/>
  <c r="GI40" i="28"/>
  <c r="B26" i="33"/>
  <c r="I41" i="48"/>
  <c r="KF10" i="47"/>
  <c r="T26" i="33"/>
  <c r="I57" i="48"/>
  <c r="F64" i="33"/>
  <c r="J48" i="33" s="1"/>
  <c r="K54" i="33" s="1"/>
  <c r="HI40" i="28"/>
  <c r="D48" i="26"/>
  <c r="J44" i="22" s="1"/>
  <c r="AA28" i="33" s="1"/>
  <c r="E54" i="74" s="1"/>
  <c r="I59" i="48"/>
  <c r="AI21" i="33"/>
  <c r="I5" i="48"/>
  <c r="B16" i="33"/>
  <c r="LI40" i="28"/>
  <c r="HC50" i="28"/>
  <c r="HD50" i="28" s="1"/>
  <c r="HR13" i="47"/>
  <c r="B57" i="33"/>
  <c r="KI75" i="47"/>
  <c r="HV40" i="47"/>
  <c r="JI40" i="47"/>
  <c r="FI40" i="47"/>
  <c r="D34" i="26"/>
  <c r="D7" i="71" s="1"/>
  <c r="D16" i="71" s="1"/>
  <c r="D50" i="26"/>
  <c r="J21" i="22" s="1"/>
  <c r="D59" i="26"/>
  <c r="J50" i="22" s="1"/>
  <c r="D47" i="26"/>
  <c r="D5" i="69" s="1"/>
  <c r="Q5" i="69" s="1"/>
  <c r="AC36" i="33"/>
  <c r="I95" i="48"/>
  <c r="I80" i="48"/>
  <c r="Q36" i="33"/>
  <c r="I89" i="48"/>
  <c r="W31" i="33"/>
  <c r="I40" i="48"/>
  <c r="H21" i="33"/>
  <c r="AC16" i="33"/>
  <c r="I29" i="48"/>
  <c r="EI40" i="47"/>
  <c r="DI40" i="47"/>
  <c r="LV40" i="47"/>
  <c r="D22" i="26"/>
  <c r="I7" i="22" s="1"/>
  <c r="I94" i="48"/>
  <c r="AC31" i="33"/>
  <c r="Q26" i="33"/>
  <c r="I52" i="48"/>
  <c r="N36" i="33"/>
  <c r="I76" i="48"/>
  <c r="BI75" i="28"/>
  <c r="I75" i="28"/>
  <c r="KV75" i="47"/>
  <c r="HI40" i="47"/>
  <c r="GV40" i="47"/>
  <c r="AI31" i="33"/>
  <c r="LV12" i="28"/>
  <c r="I12" i="28"/>
  <c r="DI12" i="28"/>
  <c r="I33" i="48"/>
  <c r="AF16" i="33"/>
  <c r="D57" i="26"/>
  <c r="LI75" i="47"/>
  <c r="GI40" i="47"/>
  <c r="KV40" i="47"/>
  <c r="II40" i="47"/>
  <c r="D12" i="26"/>
  <c r="B12" i="3" s="1"/>
  <c r="D55" i="26"/>
  <c r="D8" i="66" s="1"/>
  <c r="Q8" i="66" s="1"/>
  <c r="LV26" i="28"/>
  <c r="AV26" i="28"/>
  <c r="BV26" i="28"/>
  <c r="I26" i="28"/>
  <c r="FI26" i="28"/>
  <c r="V26" i="28"/>
  <c r="LV75" i="47"/>
  <c r="FV40" i="47"/>
  <c r="AI40" i="47"/>
  <c r="JV40" i="47"/>
  <c r="D20" i="26"/>
  <c r="B21" i="3" s="1"/>
  <c r="O68" i="33"/>
  <c r="I141" i="48"/>
  <c r="BV82" i="47"/>
  <c r="CV82" i="47"/>
  <c r="V82" i="47"/>
  <c r="LI40" i="47"/>
  <c r="JI75" i="47"/>
  <c r="HV75" i="47"/>
  <c r="V40" i="47"/>
  <c r="BV40" i="47"/>
  <c r="AV40" i="47"/>
  <c r="D28" i="26"/>
  <c r="D6" i="72" s="1"/>
  <c r="D43" i="26"/>
  <c r="J40" i="22" s="1"/>
  <c r="EV61" i="28"/>
  <c r="I61" i="28"/>
  <c r="DV61" i="28"/>
  <c r="BV61" i="28"/>
  <c r="IV61" i="28"/>
  <c r="II61" i="28"/>
  <c r="GV61" i="28"/>
  <c r="EI61" i="28"/>
  <c r="AV61" i="28"/>
  <c r="B64" i="33"/>
  <c r="A48" i="33" s="1"/>
  <c r="B49" i="33" s="1"/>
  <c r="DV40" i="47"/>
  <c r="IV40" i="47"/>
  <c r="EV40" i="47"/>
  <c r="D15" i="26"/>
  <c r="N9" i="48" s="1"/>
  <c r="AZ9" i="33" s="1"/>
  <c r="GS6" i="47"/>
  <c r="IR6" i="47"/>
  <c r="S6" i="47"/>
  <c r="R6" i="47"/>
  <c r="H20" i="3"/>
  <c r="I27" i="22"/>
  <c r="D7" i="68"/>
  <c r="D16" i="68" s="1"/>
  <c r="J75" i="22"/>
  <c r="AG38" i="33" s="1"/>
  <c r="E68" i="74" s="1"/>
  <c r="AR6" i="47"/>
  <c r="AS6" i="47"/>
  <c r="HQ10" i="47"/>
  <c r="BD10" i="47"/>
  <c r="IS10" i="47"/>
  <c r="HS10" i="47"/>
  <c r="MD10" i="47"/>
  <c r="BE10" i="47"/>
  <c r="ID6" i="47"/>
  <c r="IR10" i="47"/>
  <c r="IF6" i="47"/>
  <c r="JD6" i="47"/>
  <c r="JF6" i="47"/>
  <c r="GC72" i="28"/>
  <c r="GE72" i="28" s="1"/>
  <c r="BR10" i="47"/>
  <c r="BS10" i="47"/>
  <c r="D10" i="26"/>
  <c r="D8" i="61" s="1"/>
  <c r="D17" i="61" s="1"/>
  <c r="JP29" i="28"/>
  <c r="JS29" i="28" s="1"/>
  <c r="GP29" i="28"/>
  <c r="GR29" i="28" s="1"/>
  <c r="MC29" i="28"/>
  <c r="MD29" i="28" s="1"/>
  <c r="FP29" i="28"/>
  <c r="FS29" i="28" s="1"/>
  <c r="P29" i="28"/>
  <c r="R29" i="28" s="1"/>
  <c r="DF6" i="47"/>
  <c r="DD10" i="47"/>
  <c r="KD6" i="47"/>
  <c r="ES6" i="47"/>
  <c r="KE6" i="47"/>
  <c r="EE6" i="47"/>
  <c r="FC29" i="28"/>
  <c r="FE29" i="28" s="1"/>
  <c r="IP29" i="28"/>
  <c r="IQ29" i="28" s="1"/>
  <c r="BC29" i="28"/>
  <c r="BD29" i="28" s="1"/>
  <c r="KP29" i="28"/>
  <c r="KS29" i="28" s="1"/>
  <c r="CD10" i="47"/>
  <c r="AP29" i="28"/>
  <c r="AQ29" i="28" s="1"/>
  <c r="HP29" i="28"/>
  <c r="HS29" i="28" s="1"/>
  <c r="JF10" i="47"/>
  <c r="CQ10" i="47"/>
  <c r="LP29" i="28"/>
  <c r="LQ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D16" i="63" s="1"/>
  <c r="ED10" i="47"/>
  <c r="KQ6" i="47"/>
  <c r="GQ6" i="47"/>
  <c r="IQ52" i="28"/>
  <c r="BS6" i="47"/>
  <c r="LQ10" i="47"/>
  <c r="IC80" i="28"/>
  <c r="IF80" i="28" s="1"/>
  <c r="IR52" i="28"/>
  <c r="ME6" i="47"/>
  <c r="BR6" i="47"/>
  <c r="JE10" i="47"/>
  <c r="KR55" i="28"/>
  <c r="LR10" i="47"/>
  <c r="LR6" i="47"/>
  <c r="FR71" i="47"/>
  <c r="MD6" i="47"/>
  <c r="DE10" i="47"/>
  <c r="LS6" i="47"/>
  <c r="FQ71" i="47"/>
  <c r="AP80" i="28"/>
  <c r="AQ80" i="28" s="1"/>
  <c r="DC80" i="28"/>
  <c r="DF80" i="28" s="1"/>
  <c r="CP80" i="28"/>
  <c r="CR80" i="28" s="1"/>
  <c r="EQ10" i="47"/>
  <c r="EC80" i="28"/>
  <c r="ED80" i="28" s="1"/>
  <c r="Q7" i="68"/>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F24" i="28" s="1"/>
  <c r="GP24" i="28"/>
  <c r="GQ24" i="28" s="1"/>
  <c r="AS10" i="47"/>
  <c r="J42" i="22"/>
  <c r="U23" i="33" s="1"/>
  <c r="E41" i="74" s="1"/>
  <c r="D8" i="70"/>
  <c r="D17" i="70" s="1"/>
  <c r="J43" i="22"/>
  <c r="U28" i="33" s="1"/>
  <c r="E42" i="74" s="1"/>
  <c r="I51" i="22"/>
  <c r="AF28" i="33" s="1"/>
  <c r="D66" i="74" s="1"/>
  <c r="D6" i="64"/>
  <c r="D15" i="64" s="1"/>
  <c r="CD6" i="47"/>
  <c r="AQ10" i="47"/>
  <c r="I18" i="22"/>
  <c r="T18" i="33" s="1"/>
  <c r="D40" i="74" s="1"/>
  <c r="FE10" i="47"/>
  <c r="D7" i="62"/>
  <c r="Q7" i="62" s="1"/>
  <c r="JR6" i="47"/>
  <c r="GF10" i="47"/>
  <c r="BF6" i="47"/>
  <c r="FD10" i="47"/>
  <c r="I74" i="22"/>
  <c r="AF33" i="33" s="1"/>
  <c r="D67" i="74" s="1"/>
  <c r="I11" i="22"/>
  <c r="E18" i="33" s="1"/>
  <c r="D10" i="74" s="1"/>
  <c r="B14" i="3"/>
  <c r="E19" i="3"/>
  <c r="CE6" i="47"/>
  <c r="JQ6" i="47"/>
  <c r="J55" i="22"/>
  <c r="F38" i="33" s="1"/>
  <c r="E14" i="74" s="1"/>
  <c r="J19" i="22"/>
  <c r="E24" i="48" s="1"/>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LP71" i="28"/>
  <c r="I53" i="22"/>
  <c r="H38" i="33" s="1"/>
  <c r="D20" i="74" s="1"/>
  <c r="GF6" i="47"/>
  <c r="HS6" i="47"/>
  <c r="LF10" i="47"/>
  <c r="IP71" i="28"/>
  <c r="J33" i="22"/>
  <c r="I23" i="33" s="1"/>
  <c r="E18" i="74" s="1"/>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J52" i="22"/>
  <c r="I33" i="33" s="1"/>
  <c r="E19" i="74" s="1"/>
  <c r="DC24" i="28"/>
  <c r="DF24" i="28" s="1"/>
  <c r="KE34" i="28"/>
  <c r="KQ55" i="28"/>
  <c r="KR28" i="47"/>
  <c r="H9" i="3"/>
  <c r="D41" i="48"/>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EF41" i="28"/>
  <c r="D86" i="48"/>
  <c r="E20" i="3"/>
  <c r="J66" i="22"/>
  <c r="U33" i="33" s="1"/>
  <c r="E44" i="74" s="1"/>
  <c r="GE20" i="47"/>
  <c r="Q7" i="64"/>
  <c r="Q7" i="66"/>
  <c r="AP48" i="28"/>
  <c r="AS48" i="28" s="1"/>
  <c r="FC20" i="28"/>
  <c r="FE20" i="28" s="1"/>
  <c r="AF62" i="47"/>
  <c r="CP13" i="28"/>
  <c r="CQ13" i="28" s="1"/>
  <c r="EC48" i="28"/>
  <c r="EF48" i="28" s="1"/>
  <c r="FS28" i="47"/>
  <c r="DP80" i="28"/>
  <c r="DQ80" i="28" s="1"/>
  <c r="HR34" i="28"/>
  <c r="HQ34" i="28"/>
  <c r="FC76" i="47"/>
  <c r="FF76" i="47" s="1"/>
  <c r="LC62" i="28"/>
  <c r="LD62" i="28" s="1"/>
  <c r="GE34" i="28"/>
  <c r="LC13" i="28"/>
  <c r="LF13" i="28" s="1"/>
  <c r="DC62" i="28"/>
  <c r="DE62" i="28" s="1"/>
  <c r="D8" i="72"/>
  <c r="Q8" i="72" s="1"/>
  <c r="FP53" i="47"/>
  <c r="FQ53" i="47" s="1"/>
  <c r="IE80" i="47"/>
  <c r="JQ28" i="47"/>
  <c r="IC79" i="47"/>
  <c r="IF79" i="47" s="1"/>
  <c r="I70" i="22"/>
  <c r="AI33" i="33" s="1"/>
  <c r="D73" i="74" s="1"/>
  <c r="D7" i="69"/>
  <c r="Q7" i="69" s="1"/>
  <c r="IP76" i="47"/>
  <c r="IR76" i="47" s="1"/>
  <c r="LC76" i="47"/>
  <c r="LD76" i="47" s="1"/>
  <c r="B20" i="3"/>
  <c r="D8" i="63"/>
  <c r="Q8" i="63" s="1"/>
  <c r="I69" i="22"/>
  <c r="D90" i="48" s="1"/>
  <c r="I61" i="22"/>
  <c r="D80" i="48" s="1"/>
  <c r="P53" i="28"/>
  <c r="R53" i="28" s="1"/>
  <c r="EC76" i="47"/>
  <c r="EF76" i="47" s="1"/>
  <c r="IC76" i="47"/>
  <c r="IF76" i="47" s="1"/>
  <c r="J32" i="22"/>
  <c r="E42" i="48" s="1"/>
  <c r="BP72" i="28"/>
  <c r="BR72" i="28" s="1"/>
  <c r="KC76" i="47"/>
  <c r="KF76" i="47" s="1"/>
  <c r="KP76" i="47"/>
  <c r="KQ76" i="47" s="1"/>
  <c r="FC72" i="28"/>
  <c r="FE72" i="28" s="1"/>
  <c r="AP72" i="28"/>
  <c r="AR72" i="28" s="1"/>
  <c r="J8" i="22"/>
  <c r="E27" i="3"/>
  <c r="MC76" i="47"/>
  <c r="MD76" i="47" s="1"/>
  <c r="GC76" i="47"/>
  <c r="GF76" i="47" s="1"/>
  <c r="R80" i="47"/>
  <c r="CS55" i="28"/>
  <c r="EC72" i="28"/>
  <c r="EE72" i="28" s="1"/>
  <c r="CP72" i="28"/>
  <c r="CQ72" i="28" s="1"/>
  <c r="I33" i="22"/>
  <c r="D40" i="48" s="1"/>
  <c r="I52" i="22"/>
  <c r="D67" i="48" s="1"/>
  <c r="AP76" i="47"/>
  <c r="AR76" i="47" s="1"/>
  <c r="FP76" i="47"/>
  <c r="FS76" i="47" s="1"/>
  <c r="D8" i="71"/>
  <c r="D17" i="71" s="1"/>
  <c r="IF28" i="47"/>
  <c r="JS28" i="47"/>
  <c r="AD28" i="47"/>
  <c r="AE28" i="47"/>
  <c r="DC72" i="28"/>
  <c r="JC72" i="28"/>
  <c r="J53" i="22"/>
  <c r="I38" i="33" s="1"/>
  <c r="E20" i="74" s="1"/>
  <c r="HP76" i="47"/>
  <c r="HQ76" i="47" s="1"/>
  <c r="AC76" i="47"/>
  <c r="AF76" i="47" s="1"/>
  <c r="J15" i="22"/>
  <c r="E16" i="48" s="1"/>
  <c r="IE28" i="47"/>
  <c r="BD31" i="28"/>
  <c r="HQ31" i="28"/>
  <c r="S80" i="47"/>
  <c r="I58" i="22"/>
  <c r="N33" i="33" s="1"/>
  <c r="D32" i="74" s="1"/>
  <c r="J37" i="22"/>
  <c r="LC46" i="47"/>
  <c r="LE46" i="47" s="1"/>
  <c r="Q6" i="63"/>
  <c r="J13" i="22"/>
  <c r="E17" i="48" s="1"/>
  <c r="J10" i="22"/>
  <c r="I13" i="33" s="1"/>
  <c r="E15" i="74" s="1"/>
  <c r="LF85" i="47"/>
  <c r="DS48" i="47"/>
  <c r="DQ48" i="47"/>
  <c r="EP88" i="28"/>
  <c r="ES88" i="28" s="1"/>
  <c r="EC46" i="28"/>
  <c r="ED46" i="28" s="1"/>
  <c r="EP46" i="28"/>
  <c r="EQ46" i="28" s="1"/>
  <c r="BS72" i="47"/>
  <c r="BP46" i="28"/>
  <c r="BR46" i="28" s="1"/>
  <c r="GF28" i="47"/>
  <c r="BE28" i="47"/>
  <c r="HD28" i="47"/>
  <c r="GD28" i="47"/>
  <c r="ED41" i="28"/>
  <c r="BR72" i="47"/>
  <c r="BD28" i="47"/>
  <c r="EQ20" i="47"/>
  <c r="HF28" i="47"/>
  <c r="FD55" i="28"/>
  <c r="I38" i="22"/>
  <c r="Q23" i="33" s="1"/>
  <c r="D35" i="74" s="1"/>
  <c r="Q55" i="28"/>
  <c r="ES28" i="47"/>
  <c r="CS31" i="28"/>
  <c r="GD34" i="28"/>
  <c r="CR31" i="28"/>
  <c r="KD31" i="28"/>
  <c r="IE31" i="28"/>
  <c r="AQ31" i="28"/>
  <c r="I32" i="22"/>
  <c r="D42" i="48" s="1"/>
  <c r="E13" i="3"/>
  <c r="D5" i="64"/>
  <c r="Q5" i="64" s="1"/>
  <c r="I14" i="22"/>
  <c r="D18" i="48" s="1"/>
  <c r="JD55" i="28"/>
  <c r="J39" i="22"/>
  <c r="E52" i="48" s="1"/>
  <c r="D7" i="61"/>
  <c r="Q7" i="61" s="1"/>
  <c r="FS13" i="47"/>
  <c r="AR31" i="28"/>
  <c r="IF31" i="28"/>
  <c r="JF55" i="28"/>
  <c r="KE31" i="28"/>
  <c r="D8" i="69"/>
  <c r="D17" i="69" s="1"/>
  <c r="HS55" i="28"/>
  <c r="Q8" i="65"/>
  <c r="I44" i="22"/>
  <c r="Z28" i="33" s="1"/>
  <c r="D54" i="74" s="1"/>
  <c r="I64" i="22"/>
  <c r="Z33" i="33" s="1"/>
  <c r="D55" i="74" s="1"/>
  <c r="H13" i="3"/>
  <c r="JS72" i="47"/>
  <c r="D6" i="66"/>
  <c r="Q6" i="66" s="1"/>
  <c r="J47" i="22"/>
  <c r="AD28" i="33" s="1"/>
  <c r="E60" i="74" s="1"/>
  <c r="I72" i="22"/>
  <c r="AC33" i="33" s="1"/>
  <c r="D62" i="74" s="1"/>
  <c r="J56" i="22"/>
  <c r="C33" i="33" s="1"/>
  <c r="E7" i="74" s="1"/>
  <c r="CF62" i="47"/>
  <c r="B6" i="3"/>
  <c r="JR72" i="47"/>
  <c r="LE13" i="47"/>
  <c r="JR31" i="28"/>
  <c r="R48" i="47"/>
  <c r="LF13" i="47"/>
  <c r="J57" i="22"/>
  <c r="E73" i="48" s="1"/>
  <c r="B8" i="3"/>
  <c r="I10" i="22"/>
  <c r="H13" i="33" s="1"/>
  <c r="D15" i="74" s="1"/>
  <c r="D6" i="71"/>
  <c r="D15" i="71" s="1"/>
  <c r="AP24" i="28"/>
  <c r="AQ24" i="28" s="1"/>
  <c r="FC24" i="28"/>
  <c r="FE24" i="28" s="1"/>
  <c r="CE72" i="47"/>
  <c r="DP13" i="28"/>
  <c r="DR13" i="28" s="1"/>
  <c r="I5" i="22"/>
  <c r="B18" i="33" s="1"/>
  <c r="D4" i="74" s="1"/>
  <c r="LQ48" i="47"/>
  <c r="B18" i="3"/>
  <c r="HP79" i="47"/>
  <c r="HS79" i="47" s="1"/>
  <c r="IE24" i="28"/>
  <c r="LP24" i="28"/>
  <c r="LS24" i="28" s="1"/>
  <c r="ER20" i="47"/>
  <c r="J23" i="22"/>
  <c r="AD18" i="33" s="1"/>
  <c r="E58" i="74" s="1"/>
  <c r="JD28" i="47"/>
  <c r="E9" i="3"/>
  <c r="JE28" i="47"/>
  <c r="J54" i="22"/>
  <c r="F33" i="33" s="1"/>
  <c r="E13" i="74" s="1"/>
  <c r="J35" i="22"/>
  <c r="L23" i="33" s="1"/>
  <c r="E23" i="74" s="1"/>
  <c r="D7" i="70"/>
  <c r="Q7" i="70" s="1"/>
  <c r="D7" i="65"/>
  <c r="Q7" i="65" s="1"/>
  <c r="J68" i="22"/>
  <c r="X33" i="33" s="1"/>
  <c r="E50" i="74"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E37" i="74" s="1"/>
  <c r="I47" i="22"/>
  <c r="D62" i="48" s="1"/>
  <c r="I59" i="22"/>
  <c r="N38" i="33" s="1"/>
  <c r="D31" i="74" s="1"/>
  <c r="HQ28" i="47"/>
  <c r="E12" i="3"/>
  <c r="BP24" i="28"/>
  <c r="BR24" i="28" s="1"/>
  <c r="JP24" i="28"/>
  <c r="JR24" i="28" s="1"/>
  <c r="P13" i="28"/>
  <c r="R13" i="28" s="1"/>
  <c r="CP79" i="47"/>
  <c r="CQ79" i="47" s="1"/>
  <c r="S72" i="47"/>
  <c r="KS31" i="28"/>
  <c r="LP48" i="28"/>
  <c r="LR48" i="28" s="1"/>
  <c r="CR28" i="47"/>
  <c r="J12" i="22"/>
  <c r="O18" i="33" s="1"/>
  <c r="E28" i="74" s="1"/>
  <c r="I73" i="22"/>
  <c r="AC38" i="33" s="1"/>
  <c r="D61" i="74" s="1"/>
  <c r="I19" i="22"/>
  <c r="T13" i="33" s="1"/>
  <c r="D39" i="74" s="1"/>
  <c r="I30" i="22"/>
  <c r="D36" i="48" s="1"/>
  <c r="I6" i="22"/>
  <c r="E13" i="33" s="1"/>
  <c r="D9" i="74" s="1"/>
  <c r="B26" i="3"/>
  <c r="MC24" i="28"/>
  <c r="ME24" i="28" s="1"/>
  <c r="FP24" i="28"/>
  <c r="FS24" i="28" s="1"/>
  <c r="GC24" i="28"/>
  <c r="GE24" i="28" s="1"/>
  <c r="BC62" i="28"/>
  <c r="BF62" i="28" s="1"/>
  <c r="E18" i="48"/>
  <c r="H15" i="3"/>
  <c r="GP79" i="47"/>
  <c r="GQ79" i="47" s="1"/>
  <c r="LS28" i="47"/>
  <c r="Q72" i="47"/>
  <c r="JF62" i="47"/>
  <c r="JE62" i="47"/>
  <c r="JC88" i="28"/>
  <c r="JE88" i="28" s="1"/>
  <c r="I60" i="22"/>
  <c r="Q33" i="33" s="1"/>
  <c r="D38" i="74"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CF64" i="28"/>
  <c r="JR13" i="47"/>
  <c r="IC7" i="28"/>
  <c r="IE7" i="28" s="1"/>
  <c r="EP84" i="28"/>
  <c r="ES84" i="28" s="1"/>
  <c r="JS13" i="47"/>
  <c r="JE85" i="47"/>
  <c r="GP21" i="28"/>
  <c r="GQ21" i="28" s="1"/>
  <c r="DE62" i="47"/>
  <c r="KP21" i="28"/>
  <c r="KS21" i="28" s="1"/>
  <c r="DD62" i="47"/>
  <c r="HC7" i="28"/>
  <c r="HE7" i="28" s="1"/>
  <c r="P21" i="28"/>
  <c r="R21" i="28" s="1"/>
  <c r="AE64" i="28"/>
  <c r="AF64" i="28"/>
  <c r="I57" i="22"/>
  <c r="B38" i="33" s="1"/>
  <c r="D8" i="74" s="1"/>
  <c r="J51" i="22"/>
  <c r="AG28" i="33" s="1"/>
  <c r="E66" i="74" s="1"/>
  <c r="IR60" i="28"/>
  <c r="AR20" i="47"/>
  <c r="IS60" i="28"/>
  <c r="D6" i="68"/>
  <c r="D15" i="68" s="1"/>
  <c r="I12" i="22"/>
  <c r="N18" i="33" s="1"/>
  <c r="D28" i="74" s="1"/>
  <c r="HC21" i="28"/>
  <c r="HF21" i="28" s="1"/>
  <c r="MC21" i="28"/>
  <c r="ME21" i="28" s="1"/>
  <c r="CC21" i="28"/>
  <c r="CD21" i="28" s="1"/>
  <c r="J36" i="22"/>
  <c r="O23" i="33" s="1"/>
  <c r="E29" i="74" s="1"/>
  <c r="J26" i="22"/>
  <c r="AG13" i="33" s="1"/>
  <c r="E63" i="74" s="1"/>
  <c r="AS20" i="47"/>
  <c r="CP21" i="28"/>
  <c r="CS21" i="28" s="1"/>
  <c r="FC21" i="28"/>
  <c r="FF21" i="28" s="1"/>
  <c r="IP21" i="28"/>
  <c r="IS21" i="28" s="1"/>
  <c r="I63" i="22"/>
  <c r="K38" i="33" s="1"/>
  <c r="D26" i="74" s="1"/>
  <c r="I75" i="22"/>
  <c r="AF38" i="33" s="1"/>
  <c r="D68" i="74" s="1"/>
  <c r="LC53" i="47"/>
  <c r="LF53" i="47" s="1"/>
  <c r="BP53" i="47"/>
  <c r="BS53" i="47" s="1"/>
  <c r="AR70" i="47"/>
  <c r="LP21" i="28"/>
  <c r="LS21" i="28" s="1"/>
  <c r="D6" i="70"/>
  <c r="D15" i="70" s="1"/>
  <c r="JP53" i="47"/>
  <c r="JS53" i="47" s="1"/>
  <c r="BC21" i="28"/>
  <c r="BD21" i="28" s="1"/>
  <c r="DC21" i="28"/>
  <c r="DE21" i="28" s="1"/>
  <c r="HP21" i="28"/>
  <c r="HS21" i="28" s="1"/>
  <c r="AE20" i="47"/>
  <c r="J7" i="22"/>
  <c r="L13" i="33" s="1"/>
  <c r="E21" i="74" s="1"/>
  <c r="E8" i="3"/>
  <c r="AP53" i="47"/>
  <c r="AQ53" i="47" s="1"/>
  <c r="AS70" i="47"/>
  <c r="EC21" i="28"/>
  <c r="EE21" i="28" s="1"/>
  <c r="AC21" i="28"/>
  <c r="AE21" i="28" s="1"/>
  <c r="FP21" i="28"/>
  <c r="FQ21" i="28" s="1"/>
  <c r="JC21" i="28"/>
  <c r="JD21" i="28" s="1"/>
  <c r="D7" i="72"/>
  <c r="HP53" i="47"/>
  <c r="HQ53" i="47" s="1"/>
  <c r="HP35" i="28"/>
  <c r="HS35" i="28" s="1"/>
  <c r="Q6" i="72"/>
  <c r="KC21" i="28"/>
  <c r="KD21" i="28" s="1"/>
  <c r="AF20" i="47"/>
  <c r="LP7" i="28"/>
  <c r="LS7" i="28" s="1"/>
  <c r="GC21" i="28"/>
  <c r="GF21" i="28" s="1"/>
  <c r="EP21" i="28"/>
  <c r="EQ21" i="28" s="1"/>
  <c r="JP21" i="28"/>
  <c r="JR21" i="28" s="1"/>
  <c r="IC53" i="47"/>
  <c r="ID53" i="47" s="1"/>
  <c r="IP53" i="47"/>
  <c r="IR53" i="47" s="1"/>
  <c r="IC21" i="28"/>
  <c r="IE21" i="28" s="1"/>
  <c r="AP21" i="28"/>
  <c r="AR21" i="28" s="1"/>
  <c r="DP21" i="28"/>
  <c r="DR21" i="28" s="1"/>
  <c r="DC53" i="47"/>
  <c r="DE53" i="47" s="1"/>
  <c r="GC35" i="28"/>
  <c r="GF35" i="28" s="1"/>
  <c r="Q8" i="64"/>
  <c r="D17" i="64"/>
  <c r="D16" i="66"/>
  <c r="I20" i="22"/>
  <c r="Z13" i="33" s="1"/>
  <c r="D51" i="74" s="1"/>
  <c r="D6" i="61"/>
  <c r="Q6" i="61" s="1"/>
  <c r="AC73" i="28"/>
  <c r="AF73" i="28" s="1"/>
  <c r="LP39" i="47"/>
  <c r="LQ39" i="47" s="1"/>
  <c r="JC35" i="28"/>
  <c r="JF35" i="28" s="1"/>
  <c r="DP35" i="28"/>
  <c r="FP35" i="28"/>
  <c r="FQ35" i="28" s="1"/>
  <c r="KC35" i="28"/>
  <c r="KD35" i="28" s="1"/>
  <c r="DC35" i="28"/>
  <c r="DD35" i="28" s="1"/>
  <c r="AR28" i="47"/>
  <c r="E21" i="3"/>
  <c r="AC35" i="28"/>
  <c r="AD35" i="28" s="1"/>
  <c r="HC35" i="28"/>
  <c r="HE35" i="28" s="1"/>
  <c r="AQ28" i="47"/>
  <c r="I43" i="22"/>
  <c r="T28" i="33" s="1"/>
  <c r="D42" i="74" s="1"/>
  <c r="J18" i="22"/>
  <c r="U18" i="33" s="1"/>
  <c r="E40" i="74" s="1"/>
  <c r="AP35" i="28"/>
  <c r="AQ35" i="28" s="1"/>
  <c r="JP35" i="28"/>
  <c r="JR35" i="28" s="1"/>
  <c r="B24" i="3"/>
  <c r="J62" i="22"/>
  <c r="L33" i="33" s="1"/>
  <c r="E25" i="74" s="1"/>
  <c r="I67" i="22"/>
  <c r="T38" i="33" s="1"/>
  <c r="D43" i="74" s="1"/>
  <c r="LP50" i="28"/>
  <c r="LQ50" i="28" s="1"/>
  <c r="BC35" i="28"/>
  <c r="BD35" i="28" s="1"/>
  <c r="P35" i="28"/>
  <c r="S35" i="28" s="1"/>
  <c r="D5" i="70"/>
  <c r="Q5" i="70" s="1"/>
  <c r="B7" i="3"/>
  <c r="J28" i="22"/>
  <c r="C23" i="33" s="1"/>
  <c r="E6" i="74" s="1"/>
  <c r="CP35" i="28"/>
  <c r="CQ35" i="28" s="1"/>
  <c r="GP35" i="28"/>
  <c r="GR35" i="28" s="1"/>
  <c r="LD48" i="47"/>
  <c r="I35" i="22"/>
  <c r="D44" i="48" s="1"/>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GE79" i="28"/>
  <c r="BS28" i="47"/>
  <c r="I68" i="22"/>
  <c r="W33" i="33" s="1"/>
  <c r="D50" i="74" s="1"/>
  <c r="DC13" i="28"/>
  <c r="DD13" i="28" s="1"/>
  <c r="FC13" i="28"/>
  <c r="FE13" i="28" s="1"/>
  <c r="LQ31" i="28"/>
  <c r="HE31" i="28"/>
  <c r="GE64" i="28"/>
  <c r="E25" i="3"/>
  <c r="FP13" i="28"/>
  <c r="FR13" i="28" s="1"/>
  <c r="BP13" i="28"/>
  <c r="BR13" i="28" s="1"/>
  <c r="MF13" i="47"/>
  <c r="DR31" i="28"/>
  <c r="FE72" i="47"/>
  <c r="GF79" i="28"/>
  <c r="MC35" i="28"/>
  <c r="GF64" i="28"/>
  <c r="FP83" i="28"/>
  <c r="FS83" i="28" s="1"/>
  <c r="D6" i="65"/>
  <c r="D15" i="65" s="1"/>
  <c r="CC13" i="28"/>
  <c r="CF13" i="28" s="1"/>
  <c r="GC13" i="28"/>
  <c r="GD13" i="28" s="1"/>
  <c r="KE28" i="47"/>
  <c r="B25" i="3"/>
  <c r="ME20" i="47"/>
  <c r="IS20" i="47"/>
  <c r="HR31" i="28"/>
  <c r="AE55" i="28"/>
  <c r="HD31" i="28"/>
  <c r="LQ72" i="47"/>
  <c r="CE31" i="28"/>
  <c r="EP35" i="28"/>
  <c r="J17" i="22"/>
  <c r="X13" i="33" s="1"/>
  <c r="E45" i="74"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AI38" i="33" s="1"/>
  <c r="D74" i="74" s="1"/>
  <c r="HC46" i="28"/>
  <c r="HE46" i="28" s="1"/>
  <c r="AP46" i="28"/>
  <c r="AR46" i="28" s="1"/>
  <c r="FP46" i="28"/>
  <c r="FR46" i="28" s="1"/>
  <c r="S20" i="47"/>
  <c r="ME31" i="28"/>
  <c r="I29" i="22"/>
  <c r="E23" i="33" s="1"/>
  <c r="D12" i="74" s="1"/>
  <c r="J25" i="22"/>
  <c r="AJ13" i="33" s="1"/>
  <c r="E69" i="74"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E72" i="74" s="1"/>
  <c r="HC50" i="47"/>
  <c r="HE50" i="47" s="1"/>
  <c r="EC53" i="47"/>
  <c r="EE53" i="47" s="1"/>
  <c r="GP53" i="47"/>
  <c r="GR53" i="47" s="1"/>
  <c r="AC46" i="28"/>
  <c r="AD46" i="28" s="1"/>
  <c r="BC46" i="28"/>
  <c r="BD46" i="28" s="1"/>
  <c r="CP46" i="28"/>
  <c r="CQ46" i="28" s="1"/>
  <c r="KP67" i="47"/>
  <c r="KS67" i="47" s="1"/>
  <c r="J73" i="22"/>
  <c r="AD38" i="33" s="1"/>
  <c r="E61" i="74"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JP20" i="28"/>
  <c r="IP20" i="28"/>
  <c r="BP20" i="28"/>
  <c r="FP62" i="28"/>
  <c r="FR62" i="28" s="1"/>
  <c r="GQ55" i="28"/>
  <c r="BC48" i="28"/>
  <c r="BE48" i="28" s="1"/>
  <c r="FC39" i="47"/>
  <c r="FD39" i="47" s="1"/>
  <c r="GP62" i="28"/>
  <c r="GQ62" i="28" s="1"/>
  <c r="IP62" i="28"/>
  <c r="IR62" i="28" s="1"/>
  <c r="LQ55" i="28"/>
  <c r="FE13" i="47"/>
  <c r="ED31" i="28"/>
  <c r="DP48" i="28"/>
  <c r="CP48" i="28"/>
  <c r="FD72" i="47"/>
  <c r="DP62" i="28"/>
  <c r="DQ62" i="28" s="1"/>
  <c r="KP62" i="28"/>
  <c r="KR62" i="28" s="1"/>
  <c r="EP48" i="28"/>
  <c r="ER48" i="28" s="1"/>
  <c r="HP62" i="28"/>
  <c r="HQ62" i="28" s="1"/>
  <c r="JP62" i="28"/>
  <c r="JS62" i="28" s="1"/>
  <c r="KD55" i="28"/>
  <c r="EF31" i="28"/>
  <c r="P48" i="28"/>
  <c r="FP70" i="47"/>
  <c r="FC70" i="47"/>
  <c r="MC70" i="47"/>
  <c r="KC70" i="47"/>
  <c r="JC70" i="47"/>
  <c r="GP70" i="47"/>
  <c r="CC70" i="47"/>
  <c r="EC70" i="47"/>
  <c r="HC62" i="28"/>
  <c r="HE62" i="28" s="1"/>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IC62" i="28"/>
  <c r="ID62" i="28" s="1"/>
  <c r="BP48" i="28"/>
  <c r="BQ48" i="28" s="1"/>
  <c r="JC48" i="28"/>
  <c r="EC39" i="47"/>
  <c r="ED39" i="47" s="1"/>
  <c r="AP62" i="28"/>
  <c r="AS62" i="28" s="1"/>
  <c r="P62" i="28"/>
  <c r="S62" i="28" s="1"/>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4" i="48"/>
  <c r="K16" i="33"/>
  <c r="I12" i="48"/>
  <c r="JO108" i="47"/>
  <c r="JP126" i="47"/>
  <c r="JO107" i="47"/>
  <c r="JP124" i="47"/>
  <c r="BO107" i="47"/>
  <c r="BP124" i="47"/>
  <c r="BO108" i="47"/>
  <c r="BP126" i="47"/>
  <c r="JB107" i="47"/>
  <c r="JB108" i="47"/>
  <c r="B59" i="33"/>
  <c r="EC11" i="47"/>
  <c r="EE11" i="47" s="1"/>
  <c r="IR80" i="47"/>
  <c r="GR72" i="47"/>
  <c r="E36" i="48"/>
  <c r="EV19" i="47"/>
  <c r="I19" i="47"/>
  <c r="DB107" i="47"/>
  <c r="DC126" i="47"/>
  <c r="I79" i="48"/>
  <c r="Q31" i="33"/>
  <c r="AC126" i="47"/>
  <c r="AB108" i="47"/>
  <c r="AC124" i="47"/>
  <c r="AB107" i="47"/>
  <c r="AP126" i="47"/>
  <c r="AO107" i="47"/>
  <c r="AO108" i="47"/>
  <c r="AP124" i="47"/>
  <c r="FO107" i="47"/>
  <c r="FP124" i="47"/>
  <c r="FP126" i="47"/>
  <c r="FO108" i="47"/>
  <c r="HO108" i="47"/>
  <c r="HO107" i="47"/>
  <c r="MC48" i="28"/>
  <c r="IP48" i="28"/>
  <c r="GC48" i="28"/>
  <c r="CC124" i="47"/>
  <c r="CB108" i="47"/>
  <c r="CB107" i="47"/>
  <c r="CC126" i="47"/>
  <c r="LC124" i="47"/>
  <c r="LB108" i="47"/>
  <c r="LB107" i="47"/>
  <c r="LC126" i="47"/>
  <c r="HC124" i="47"/>
  <c r="HB108" i="47"/>
  <c r="HC126" i="47"/>
  <c r="HB107" i="47"/>
  <c r="MC124" i="47"/>
  <c r="MC126" i="47"/>
  <c r="MB108" i="47"/>
  <c r="MB107" i="47"/>
  <c r="K13" i="33"/>
  <c r="D21" i="74" s="1"/>
  <c r="D7" i="48"/>
  <c r="IO108" i="47"/>
  <c r="IP126" i="47"/>
  <c r="IO107" i="47"/>
  <c r="IP124" i="47"/>
  <c r="GB107" i="47"/>
  <c r="GB108" i="47"/>
  <c r="GC124" i="47"/>
  <c r="GC126" i="47"/>
  <c r="FC126" i="47"/>
  <c r="FC124" i="47"/>
  <c r="FB108" i="47"/>
  <c r="FB107" i="47"/>
  <c r="I87" i="48"/>
  <c r="T36" i="33"/>
  <c r="IB107" i="47"/>
  <c r="IC124" i="47"/>
  <c r="IB108" i="47"/>
  <c r="IC126" i="47"/>
  <c r="DP126" i="47"/>
  <c r="DO107" i="47"/>
  <c r="DP124" i="47"/>
  <c r="DO108" i="47"/>
  <c r="BC76" i="47"/>
  <c r="HC76" i="47"/>
  <c r="DC76" i="47"/>
  <c r="P76" i="47"/>
  <c r="GP76" i="47"/>
  <c r="JC76" i="47"/>
  <c r="LP76" i="47"/>
  <c r="EP76" i="47"/>
  <c r="CP76" i="47"/>
  <c r="BP76" i="47"/>
  <c r="DP76" i="47"/>
  <c r="JP76" i="47"/>
  <c r="I97" i="48"/>
  <c r="AF36" i="33"/>
  <c r="I17" i="48"/>
  <c r="N11" i="33"/>
  <c r="I20" i="48"/>
  <c r="W11" i="33"/>
  <c r="I64" i="48"/>
  <c r="AF21" i="33"/>
  <c r="I82" i="48"/>
  <c r="K36" i="33"/>
  <c r="CP124" i="47"/>
  <c r="CO108" i="47"/>
  <c r="IS80" i="47"/>
  <c r="GP126" i="47"/>
  <c r="GP124" i="47"/>
  <c r="Q11" i="33"/>
  <c r="I18" i="48"/>
  <c r="LP126" i="47"/>
  <c r="LO107" i="47"/>
  <c r="LO108" i="47"/>
  <c r="LP124" i="47"/>
  <c r="I70" i="48"/>
  <c r="E31" i="33"/>
  <c r="I14" i="48"/>
  <c r="E16" i="33"/>
  <c r="KP124" i="47"/>
  <c r="KO108" i="47"/>
  <c r="JF31" i="28"/>
  <c r="JD31" i="28"/>
  <c r="JE31" i="28"/>
  <c r="DQ85" i="47"/>
  <c r="I4" i="22"/>
  <c r="B13" i="33" s="1"/>
  <c r="D3" i="74"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E30" i="48"/>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CD64"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7" i="48"/>
  <c r="N31" i="33"/>
  <c r="IS78" i="47"/>
  <c r="I42" i="22"/>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N7" i="48"/>
  <c r="AZ7" i="33" s="1"/>
  <c r="I36" i="22"/>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I42" i="48"/>
  <c r="I92" i="48"/>
  <c r="AI36" i="33"/>
  <c r="I11" i="48"/>
  <c r="N16" i="33"/>
  <c r="D8" i="68"/>
  <c r="J27" i="22"/>
  <c r="AD33" i="33"/>
  <c r="E62" i="74" s="1"/>
  <c r="E94" i="48"/>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E59" i="74" s="1"/>
  <c r="E61" i="48"/>
  <c r="I55"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P50" i="28"/>
  <c r="BR50" i="28" s="1"/>
  <c r="DC50" i="28"/>
  <c r="DD50" i="28" s="1"/>
  <c r="GQ78" i="47"/>
  <c r="LQ80" i="47"/>
  <c r="LR80" i="47"/>
  <c r="LS80" i="47"/>
  <c r="EQ55" i="28"/>
  <c r="ES55" i="28"/>
  <c r="ER55" i="28"/>
  <c r="LP44" i="47"/>
  <c r="LS44" i="47" s="1"/>
  <c r="KP30" i="28"/>
  <c r="KS30" i="28" s="1"/>
  <c r="P17" i="28"/>
  <c r="Q17" i="28" s="1"/>
  <c r="CC50" i="28"/>
  <c r="CF50" i="28" s="1"/>
  <c r="AP50" i="28"/>
  <c r="AR50" i="28" s="1"/>
  <c r="GR78" i="47"/>
  <c r="HF71" i="47"/>
  <c r="JF72" i="47"/>
  <c r="JE72" i="47"/>
  <c r="HD55" i="28"/>
  <c r="HE55" i="28"/>
  <c r="HF55" i="28"/>
  <c r="AD85" i="47"/>
  <c r="HQ86" i="47"/>
  <c r="CS80" i="47"/>
  <c r="EC50" i="28"/>
  <c r="ED50" i="28" s="1"/>
  <c r="EP50" i="28"/>
  <c r="ER50" i="28" s="1"/>
  <c r="CC58" i="47"/>
  <c r="CE58" i="47" s="1"/>
  <c r="HD71" i="47"/>
  <c r="IS35" i="28"/>
  <c r="FD80" i="47"/>
  <c r="FF80" i="47"/>
  <c r="FE80" i="47"/>
  <c r="EF72" i="47"/>
  <c r="ED72" i="47"/>
  <c r="BD55" i="28"/>
  <c r="BF55" i="28"/>
  <c r="BE55" i="28"/>
  <c r="DE55" i="28"/>
  <c r="DD55" i="28"/>
  <c r="DF55" i="28"/>
  <c r="IP63" i="28"/>
  <c r="IR63" i="28" s="1"/>
  <c r="BC17" i="28"/>
  <c r="BE17" i="28" s="1"/>
  <c r="HR86" i="47"/>
  <c r="CQ80" i="47"/>
  <c r="BC50" i="28"/>
  <c r="BF50" i="28" s="1"/>
  <c r="JP58" i="47"/>
  <c r="JQ58" i="47" s="1"/>
  <c r="IR35" i="28"/>
  <c r="KD80" i="47"/>
  <c r="KE80" i="47"/>
  <c r="KF80" i="47"/>
  <c r="LE55" i="28"/>
  <c r="LF55" i="28"/>
  <c r="LD55" i="28"/>
  <c r="CF84" i="47"/>
  <c r="BP85" i="28"/>
  <c r="BR85" i="28" s="1"/>
  <c r="GC63" i="28"/>
  <c r="GF63" i="28" s="1"/>
  <c r="EP17" i="28"/>
  <c r="ES17" i="28" s="1"/>
  <c r="LC50" i="28"/>
  <c r="LD50" i="28" s="1"/>
  <c r="LP58" i="47"/>
  <c r="LR58" i="47" s="1"/>
  <c r="CP18" i="47"/>
  <c r="CQ18" i="47" s="1"/>
  <c r="DS28" i="47"/>
  <c r="LE72" i="47"/>
  <c r="LF72" i="47"/>
  <c r="LD72" i="47"/>
  <c r="IR55" i="28"/>
  <c r="IQ55" i="28"/>
  <c r="IS55" i="28"/>
  <c r="JP69" i="28"/>
  <c r="JQ69" i="28" s="1"/>
  <c r="GC50" i="28"/>
  <c r="GE50" i="28" s="1"/>
  <c r="HF78" i="47"/>
  <c r="CC88" i="28"/>
  <c r="CD88" i="28" s="1"/>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BP88" i="28"/>
  <c r="BS88" i="28" s="1"/>
  <c r="IP88" i="28"/>
  <c r="IS88" i="28" s="1"/>
  <c r="DC88" i="28"/>
  <c r="DE88" i="28" s="1"/>
  <c r="CP88" i="28"/>
  <c r="P88" i="28"/>
  <c r="BC88" i="28"/>
  <c r="BD88" i="28" s="1"/>
  <c r="GC60" i="47"/>
  <c r="GF60" i="47" s="1"/>
  <c r="LR71" i="47"/>
  <c r="LQ71" i="47"/>
  <c r="LS71" i="47"/>
  <c r="L28" i="33"/>
  <c r="E24" i="74" s="1"/>
  <c r="E47" i="48"/>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LE62"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R64" i="28"/>
  <c r="S64" i="28"/>
  <c r="Q64"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D36" i="74" s="1"/>
  <c r="D52" i="48"/>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CR27" i="28"/>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E32" i="74" s="1"/>
  <c r="E77"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D15" i="72"/>
  <c r="MC83" i="28"/>
  <c r="MD83" i="28" s="1"/>
  <c r="JC85" i="28"/>
  <c r="JF85" i="28" s="1"/>
  <c r="FC85" i="28"/>
  <c r="FE85" i="28" s="1"/>
  <c r="IC83" i="28"/>
  <c r="ID83" i="28" s="1"/>
  <c r="EC83" i="28"/>
  <c r="EF83" i="28" s="1"/>
  <c r="LC83" i="28"/>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DF77" i="47"/>
  <c r="DE77" i="47"/>
  <c r="DD77" i="47"/>
  <c r="LF77" i="47"/>
  <c r="LD77" i="47"/>
  <c r="LE77" i="47"/>
  <c r="KR64" i="28"/>
  <c r="KS64" i="28"/>
  <c r="KQ64" i="28"/>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DS64" i="28"/>
  <c r="DQ64" i="28"/>
  <c r="DR64" i="28"/>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AS77" i="47"/>
  <c r="AR77" i="47"/>
  <c r="AQ77" i="47"/>
  <c r="KD77" i="47"/>
  <c r="KE77" i="47"/>
  <c r="KF77" i="47"/>
  <c r="HF64" i="28"/>
  <c r="HE64" i="28"/>
  <c r="HD64" i="28"/>
  <c r="LF64" i="28"/>
  <c r="LE64" i="28"/>
  <c r="LD64" i="28"/>
  <c r="FC83" i="28"/>
  <c r="FD83" i="28" s="1"/>
  <c r="GC85" i="28"/>
  <c r="GF85" i="28" s="1"/>
  <c r="CC83" i="28"/>
  <c r="CD83" i="28" s="1"/>
  <c r="AC83" i="28"/>
  <c r="AF83" i="28" s="1"/>
  <c r="IR84" i="47"/>
  <c r="JF86" i="47"/>
  <c r="AP53" i="28"/>
  <c r="FP53" i="28"/>
  <c r="JP53" i="28"/>
  <c r="IP53" i="28"/>
  <c r="DC53" i="28"/>
  <c r="LP53" i="28"/>
  <c r="IE34" i="28"/>
  <c r="ID34" i="28"/>
  <c r="IF34" i="28"/>
  <c r="FE34" i="28"/>
  <c r="FF34" i="28"/>
  <c r="FD34" i="28"/>
  <c r="LR34" i="28"/>
  <c r="LQ34" i="28"/>
  <c r="LS34" i="28"/>
  <c r="BS77" i="47"/>
  <c r="BR77" i="47"/>
  <c r="BQ77" i="47"/>
  <c r="DQ77" i="47"/>
  <c r="DS77" i="47"/>
  <c r="DR77" i="47"/>
  <c r="FF77" i="47"/>
  <c r="FE77" i="47"/>
  <c r="FD77" i="47"/>
  <c r="GR64" i="28"/>
  <c r="GQ64" i="28"/>
  <c r="GS64" i="28"/>
  <c r="FS64" i="28"/>
  <c r="FQ64" i="28"/>
  <c r="FR64" i="28"/>
  <c r="ED64" i="28"/>
  <c r="EE64" i="28"/>
  <c r="EF64" i="28"/>
  <c r="HP83" i="28"/>
  <c r="HR83" i="28" s="1"/>
  <c r="IP83" i="28"/>
  <c r="IQ83" i="28" s="1"/>
  <c r="CP83" i="28"/>
  <c r="CS83" i="28" s="1"/>
  <c r="IS84"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JD77" i="47"/>
  <c r="JE77" i="47"/>
  <c r="JF77" i="47"/>
  <c r="MD77" i="47"/>
  <c r="ME77" i="47"/>
  <c r="MF77" i="47"/>
  <c r="AD77" i="47"/>
  <c r="AE77" i="47"/>
  <c r="AF77" i="47"/>
  <c r="AS64" i="28"/>
  <c r="AR64" i="28"/>
  <c r="AQ64" i="28"/>
  <c r="BR64" i="28"/>
  <c r="BS64" i="28"/>
  <c r="BQ64" i="28"/>
  <c r="FD64" i="28"/>
  <c r="FF64" i="28"/>
  <c r="FE64" i="28"/>
  <c r="FS77" i="47"/>
  <c r="FR77" i="47"/>
  <c r="FQ77" i="47"/>
  <c r="LS64" i="28"/>
  <c r="LR64" i="28"/>
  <c r="LQ64" i="28"/>
  <c r="MC85" i="28"/>
  <c r="MF85" i="28" s="1"/>
  <c r="LC85" i="28"/>
  <c r="LE85" i="28" s="1"/>
  <c r="JP83" i="28"/>
  <c r="JS83" i="28" s="1"/>
  <c r="DE85" i="47"/>
  <c r="BP83" i="28"/>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ED77" i="47"/>
  <c r="EE77" i="47"/>
  <c r="EF77" i="47"/>
  <c r="KS77" i="47"/>
  <c r="KQ77" i="47"/>
  <c r="KR77" i="47"/>
  <c r="GE77" i="47"/>
  <c r="GD77" i="47"/>
  <c r="GF77" i="47"/>
  <c r="JD64" i="28"/>
  <c r="JE64" i="28"/>
  <c r="JF64" i="28"/>
  <c r="KR34" i="28"/>
  <c r="KS34" i="28"/>
  <c r="KQ34" i="28"/>
  <c r="BF77" i="47"/>
  <c r="BE77" i="47"/>
  <c r="BD77" i="47"/>
  <c r="KE64" i="28"/>
  <c r="KF64" i="28"/>
  <c r="KD64" i="28"/>
  <c r="IE64" i="28"/>
  <c r="ID64" i="28"/>
  <c r="IF64" i="28"/>
  <c r="MD88" i="47"/>
  <c r="JC83" i="28"/>
  <c r="JD83" i="28" s="1"/>
  <c r="KP85" i="28"/>
  <c r="KS85" i="28" s="1"/>
  <c r="P85" i="28"/>
  <c r="Q85" i="28" s="1"/>
  <c r="DC83" i="28"/>
  <c r="DD83" i="28" s="1"/>
  <c r="DD85" i="47"/>
  <c r="GP86" i="28"/>
  <c r="GR86" i="28" s="1"/>
  <c r="EC86" i="28"/>
  <c r="EE86" i="28" s="1"/>
  <c r="ES34" i="28"/>
  <c r="EQ34" i="28"/>
  <c r="ER34" i="28"/>
  <c r="ED34" i="28"/>
  <c r="EE34" i="28"/>
  <c r="EF34" i="28"/>
  <c r="BF34" i="28"/>
  <c r="BE34" i="28"/>
  <c r="BD34" i="28"/>
  <c r="JR77" i="47"/>
  <c r="JQ77" i="47"/>
  <c r="JS77" i="47"/>
  <c r="HF77" i="47"/>
  <c r="HE77" i="47"/>
  <c r="HD77" i="47"/>
  <c r="ID77" i="47"/>
  <c r="IF77" i="47"/>
  <c r="IE77" i="47"/>
  <c r="MF64" i="28"/>
  <c r="MD64" i="28"/>
  <c r="ME64" i="28"/>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KC83" i="28"/>
  <c r="KD83" i="28" s="1"/>
  <c r="P83" i="28"/>
  <c r="R83" i="28" s="1"/>
  <c r="GP83" i="28"/>
  <c r="GR83" i="28" s="1"/>
  <c r="LF34" i="28"/>
  <c r="LE34" i="28"/>
  <c r="LD34" i="28"/>
  <c r="R34" i="28"/>
  <c r="Q34" i="28"/>
  <c r="S34" i="28"/>
  <c r="CQ77" i="47"/>
  <c r="CS77" i="47"/>
  <c r="CR77" i="47"/>
  <c r="ER77" i="47"/>
  <c r="ES77" i="47"/>
  <c r="EQ77" i="47"/>
  <c r="BD64" i="28"/>
  <c r="BF64" i="28"/>
  <c r="BE64" i="28"/>
  <c r="JR64" i="28"/>
  <c r="JS64" i="28"/>
  <c r="JQ64" i="28"/>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AC23" i="33"/>
  <c r="D59" i="74" s="1"/>
  <c r="D61" i="48"/>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H48" i="33" s="1"/>
  <c r="CC87" i="28"/>
  <c r="P87" i="28"/>
  <c r="KP87" i="28"/>
  <c r="LP86" i="28"/>
  <c r="LQ86" i="28" s="1"/>
  <c r="HP86" i="28"/>
  <c r="AC86" i="28"/>
  <c r="DP87" i="28"/>
  <c r="DQ87" i="28" s="1"/>
  <c r="KC87" i="28"/>
  <c r="KD87" i="28" s="1"/>
  <c r="P86" i="28"/>
  <c r="R86" i="28" s="1"/>
  <c r="CP86" i="28"/>
  <c r="CQ86" i="28" s="1"/>
  <c r="LP87" i="28"/>
  <c r="LR87" i="28" s="1"/>
  <c r="Q5" i="71"/>
  <c r="MF88" i="47"/>
  <c r="EC87" i="28"/>
  <c r="EE87" i="28" s="1"/>
  <c r="FC86" i="28"/>
  <c r="FE86" i="28" s="1"/>
  <c r="BC86" i="28"/>
  <c r="BF86" i="28" s="1"/>
  <c r="CS87" i="28"/>
  <c r="BP87" i="28"/>
  <c r="BQ87" i="28" s="1"/>
  <c r="DC87" i="28"/>
  <c r="DD87" i="28" s="1"/>
  <c r="EP86" i="28"/>
  <c r="ES86" i="28" s="1"/>
  <c r="IP87" i="28"/>
  <c r="IQ87" i="28" s="1"/>
  <c r="EP87" i="28"/>
  <c r="EQ87" i="28" s="1"/>
  <c r="AC87" i="28"/>
  <c r="AF87" i="28" s="1"/>
  <c r="FP87" i="28"/>
  <c r="X23" i="33"/>
  <c r="E47" i="74" s="1"/>
  <c r="E50" i="48"/>
  <c r="KC87" i="47"/>
  <c r="KF87" i="47" s="1"/>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E22" i="74"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X28" i="33"/>
  <c r="E48" i="74" s="1"/>
  <c r="E49" i="48"/>
  <c r="LP87" i="47"/>
  <c r="LQ87" i="47" s="1"/>
  <c r="EP87" i="47"/>
  <c r="EQ87" i="47" s="1"/>
  <c r="C28" i="33"/>
  <c r="E5" i="74" s="1"/>
  <c r="E41" i="48"/>
  <c r="BC83" i="28"/>
  <c r="LP83" i="28"/>
  <c r="KP83" i="28"/>
  <c r="H18" i="33"/>
  <c r="D16" i="74" s="1"/>
  <c r="D9" i="48"/>
  <c r="U38" i="33"/>
  <c r="E43" i="74" s="1"/>
  <c r="E87" i="48"/>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HE85" i="47"/>
  <c r="HF85" i="47"/>
  <c r="KD85" i="47"/>
  <c r="KF85" i="47"/>
  <c r="KE85" i="47"/>
  <c r="LQ85" i="47"/>
  <c r="LR85" i="47"/>
  <c r="CF88" i="47"/>
  <c r="CD88" i="47"/>
  <c r="CE88" i="47"/>
  <c r="LR86" i="47"/>
  <c r="LS86" i="47"/>
  <c r="LQ86" i="47"/>
  <c r="ER86" i="47"/>
  <c r="ES86" i="47"/>
  <c r="EQ86" i="47"/>
  <c r="L38" i="33"/>
  <c r="E26" i="74" s="1"/>
  <c r="E82" i="48"/>
  <c r="AA18" i="33"/>
  <c r="E52" i="74"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E70" i="74" s="1"/>
  <c r="E28"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D69" i="74" s="1"/>
  <c r="D34" i="48"/>
  <c r="AI28" i="33"/>
  <c r="D72" i="74" s="1"/>
  <c r="D60"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DQ86" i="47"/>
  <c r="DR86" i="47"/>
  <c r="DS86" i="47"/>
  <c r="EE86" i="47"/>
  <c r="EF86" i="47"/>
  <c r="ED86" i="47"/>
  <c r="GR86" i="47"/>
  <c r="GS86" i="47"/>
  <c r="GQ86" i="47"/>
  <c r="BC87" i="47"/>
  <c r="EC87" i="47"/>
  <c r="HP87" i="47"/>
  <c r="AI54" i="33"/>
  <c r="AI48" i="33"/>
  <c r="AI47" i="33"/>
  <c r="AJ54" i="33"/>
  <c r="AI49"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E73" i="74" s="1"/>
  <c r="E91" i="48"/>
  <c r="C13" i="33"/>
  <c r="E3" i="74"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D71" i="74" s="1"/>
  <c r="D59" i="48"/>
  <c r="H57" i="33"/>
  <c r="H58" i="33"/>
  <c r="H59" i="33"/>
  <c r="I64" i="33"/>
  <c r="P48" i="33" s="1"/>
  <c r="H64" i="33"/>
  <c r="M48" i="33" s="1"/>
  <c r="EQ85" i="47"/>
  <c r="ES85" i="47"/>
  <c r="ER85" i="47"/>
  <c r="IF88" i="47"/>
  <c r="ID88" i="47"/>
  <c r="IE88" i="47"/>
  <c r="KS86" i="47"/>
  <c r="KQ86" i="47"/>
  <c r="KR86" i="47"/>
  <c r="KE86" i="47"/>
  <c r="KF86" i="47"/>
  <c r="KD86" i="47"/>
  <c r="KQ83" i="47"/>
  <c r="KR83" i="47"/>
  <c r="KS83" i="47"/>
  <c r="HC87" i="47"/>
  <c r="FQ88" i="47"/>
  <c r="FR88" i="47"/>
  <c r="FS88" i="47"/>
  <c r="KQ84" i="47"/>
  <c r="KR84" i="47"/>
  <c r="KS84" i="47"/>
  <c r="JD84" i="47"/>
  <c r="JE84" i="47"/>
  <c r="JF84" i="47"/>
  <c r="AG23" i="33"/>
  <c r="E65" i="74" s="1"/>
  <c r="E64" i="48"/>
  <c r="N28" i="33"/>
  <c r="D30" i="74" s="1"/>
  <c r="D46" i="48"/>
  <c r="FD86" i="47"/>
  <c r="FE86" i="47"/>
  <c r="FF86" i="47"/>
  <c r="LD84" i="47"/>
  <c r="LE84" i="47"/>
  <c r="LF84" i="47"/>
  <c r="HD84" i="47"/>
  <c r="HE84" i="47"/>
  <c r="HF84" i="47"/>
  <c r="E29" i="48"/>
  <c r="LD88" i="47"/>
  <c r="LE88" i="47"/>
  <c r="LF88" i="47"/>
  <c r="LQ88" i="47"/>
  <c r="LR88" i="47"/>
  <c r="LS88" i="47"/>
  <c r="Q88" i="47"/>
  <c r="R88" i="47"/>
  <c r="S88" i="47"/>
  <c r="AQ84" i="47"/>
  <c r="AR84" i="47"/>
  <c r="AS84" i="47"/>
  <c r="MD84" i="47"/>
  <c r="ME84" i="47"/>
  <c r="MF84" i="47"/>
  <c r="FD84" i="47"/>
  <c r="FE84" i="47"/>
  <c r="FF84" i="47"/>
  <c r="MD86" i="47"/>
  <c r="ME86" i="47"/>
  <c r="MF86" i="47"/>
  <c r="DD84" i="47"/>
  <c r="DE84" i="47"/>
  <c r="DF84" i="47"/>
  <c r="GQ84" i="47"/>
  <c r="GR84" i="47"/>
  <c r="GS84" i="47"/>
  <c r="GD88" i="47"/>
  <c r="GE88" i="47"/>
  <c r="GF88" i="47"/>
  <c r="LQ84" i="47"/>
  <c r="LR84" i="47"/>
  <c r="LS84" i="47"/>
  <c r="JQ84" i="47"/>
  <c r="JR84" i="47"/>
  <c r="JS84" i="47"/>
  <c r="AD88" i="47"/>
  <c r="AE88" i="47"/>
  <c r="AF88" i="47"/>
  <c r="FD88" i="47"/>
  <c r="FE88" i="47"/>
  <c r="FF88" i="47"/>
  <c r="FQ84" i="47"/>
  <c r="FR84" i="47"/>
  <c r="FS84" i="47"/>
  <c r="GD84" i="47"/>
  <c r="GE84" i="47"/>
  <c r="GF84" i="47"/>
  <c r="AF18" i="33"/>
  <c r="D64" i="74" s="1"/>
  <c r="D33" i="48"/>
  <c r="I18" i="33"/>
  <c r="E16" i="74" s="1"/>
  <c r="E9" i="48"/>
  <c r="GD86" i="47"/>
  <c r="GE86" i="47"/>
  <c r="GF86" i="47"/>
  <c r="AD84" i="47"/>
  <c r="AE84" i="47"/>
  <c r="AF84" i="47"/>
  <c r="Q84" i="47"/>
  <c r="R84" i="47"/>
  <c r="S84" i="47"/>
  <c r="O28" i="33"/>
  <c r="E30" i="74" s="1"/>
  <c r="E46" i="48"/>
  <c r="EE27" i="28"/>
  <c r="ED27" i="28"/>
  <c r="EF27" i="28"/>
  <c r="HD88" i="47"/>
  <c r="HE88" i="47"/>
  <c r="HF88" i="47"/>
  <c r="HQ84" i="47"/>
  <c r="HR84" i="47"/>
  <c r="HS84" i="47"/>
  <c r="BD84" i="47"/>
  <c r="BE84" i="47"/>
  <c r="BF84" i="47"/>
  <c r="CS64" i="28" l="1"/>
  <c r="CQ64" i="28"/>
  <c r="HR69" i="28"/>
  <c r="HQ69" i="28"/>
  <c r="DD64" i="28"/>
  <c r="GQ79" i="28"/>
  <c r="DE64" i="28"/>
  <c r="GS79" i="28"/>
  <c r="HR64" i="28"/>
  <c r="GD71" i="47"/>
  <c r="IY69" i="47"/>
  <c r="DY69" i="47"/>
  <c r="HQ64" i="28"/>
  <c r="EY69" i="47"/>
  <c r="E69" i="28"/>
  <c r="BY69" i="47"/>
  <c r="GY69" i="47"/>
  <c r="LY69" i="47"/>
  <c r="JE27" i="28"/>
  <c r="CL69" i="47"/>
  <c r="EL69" i="47"/>
  <c r="GF71" i="47"/>
  <c r="AY69" i="47"/>
  <c r="FL69" i="47"/>
  <c r="KY69" i="47"/>
  <c r="L69" i="47"/>
  <c r="HL69" i="47"/>
  <c r="HF50" i="28"/>
  <c r="GL69" i="47"/>
  <c r="CY69" i="47"/>
  <c r="JY69" i="47"/>
  <c r="LL69" i="47"/>
  <c r="HY69" i="47"/>
  <c r="KL69" i="47"/>
  <c r="Y69" i="47"/>
  <c r="JL69" i="47"/>
  <c r="DS71" i="28"/>
  <c r="DL69" i="47"/>
  <c r="IL69" i="47"/>
  <c r="DR71" i="28"/>
  <c r="BL69" i="47"/>
  <c r="AL69" i="47"/>
  <c r="AE71" i="47"/>
  <c r="MF71" i="47"/>
  <c r="DQ71" i="47"/>
  <c r="DS71" i="47"/>
  <c r="JF41" i="28"/>
  <c r="ME71" i="47"/>
  <c r="CS27" i="28"/>
  <c r="JD79" i="28"/>
  <c r="AF27" i="28"/>
  <c r="EE79" i="28"/>
  <c r="S71" i="47"/>
  <c r="LF27" i="28"/>
  <c r="IR71" i="47"/>
  <c r="IQ71" i="47"/>
  <c r="KD71" i="47"/>
  <c r="BD79" i="28"/>
  <c r="BE79" i="28"/>
  <c r="KF71" i="47"/>
  <c r="Q71" i="47"/>
  <c r="JS27" i="28"/>
  <c r="HQ71" i="47"/>
  <c r="HS71" i="47"/>
  <c r="IR27" i="28"/>
  <c r="JR27" i="28"/>
  <c r="ED79" i="28"/>
  <c r="DD41" i="28"/>
  <c r="Q79" i="28"/>
  <c r="IS27" i="28"/>
  <c r="JE79" i="28"/>
  <c r="CR71" i="47"/>
  <c r="CS71" i="47"/>
  <c r="S79" i="28"/>
  <c r="FF71" i="47"/>
  <c r="LE27" i="28"/>
  <c r="ER41" i="28"/>
  <c r="EQ41" i="28"/>
  <c r="FE71" i="47"/>
  <c r="AE27" i="28"/>
  <c r="KE79" i="28"/>
  <c r="KD79" i="28"/>
  <c r="AF71" i="47"/>
  <c r="KF41" i="28"/>
  <c r="DD27" i="28"/>
  <c r="DF27" i="28"/>
  <c r="LS79" i="28"/>
  <c r="P27" i="67"/>
  <c r="P25" i="67"/>
  <c r="P26" i="67"/>
  <c r="C87" i="28" s="1"/>
  <c r="Q23" i="67"/>
  <c r="E84" i="47" s="1"/>
  <c r="Q25" i="67"/>
  <c r="P24" i="67"/>
  <c r="P22" i="67"/>
  <c r="Q22" i="67"/>
  <c r="E83" i="47" s="1"/>
  <c r="P23" i="67"/>
  <c r="C84" i="28" s="1"/>
  <c r="Q26" i="67"/>
  <c r="P25" i="68"/>
  <c r="P26" i="68"/>
  <c r="Q24" i="68"/>
  <c r="P27" i="68"/>
  <c r="P23" i="68"/>
  <c r="C77" i="47" s="1"/>
  <c r="Q27" i="68"/>
  <c r="Q25" i="68"/>
  <c r="I28" i="33"/>
  <c r="E17" i="74" s="1"/>
  <c r="Q7" i="71"/>
  <c r="E14" i="3"/>
  <c r="I15" i="22"/>
  <c r="J60" i="22"/>
  <c r="E79" i="48" s="1"/>
  <c r="J38" i="22"/>
  <c r="R23" i="33" s="1"/>
  <c r="E35" i="74" s="1"/>
  <c r="R28" i="33"/>
  <c r="Q22" i="68"/>
  <c r="E76" i="47" s="1"/>
  <c r="J11" i="22"/>
  <c r="F18" i="33" s="1"/>
  <c r="E10" i="74" s="1"/>
  <c r="HE27" i="28"/>
  <c r="GE27" i="28"/>
  <c r="GF27" i="28"/>
  <c r="HD27" i="28"/>
  <c r="P24" i="66"/>
  <c r="C71" i="28" s="1"/>
  <c r="Q27" i="66"/>
  <c r="E74" i="28" s="1"/>
  <c r="Q23" i="66"/>
  <c r="E70" i="47" s="1"/>
  <c r="P26" i="66"/>
  <c r="C73" i="47" s="1"/>
  <c r="Q25" i="66"/>
  <c r="E72" i="28" s="1"/>
  <c r="KR27" i="28"/>
  <c r="Q24" i="66"/>
  <c r="E71" i="28" s="1"/>
  <c r="C70" i="47"/>
  <c r="C70" i="28"/>
  <c r="B70" i="28" s="1"/>
  <c r="LI70" i="28" s="1"/>
  <c r="KQ27" i="28"/>
  <c r="Q26" i="66"/>
  <c r="E73" i="47" s="1"/>
  <c r="P27" i="66"/>
  <c r="P26" i="69"/>
  <c r="C66" i="47" s="1"/>
  <c r="P25" i="69"/>
  <c r="Q25" i="69"/>
  <c r="E65" i="28" s="1"/>
  <c r="GL65" i="28" s="1"/>
  <c r="P22" i="69"/>
  <c r="C62" i="47" s="1"/>
  <c r="Q23" i="69"/>
  <c r="DQ29" i="28"/>
  <c r="Q24" i="65"/>
  <c r="E57" i="47" s="1"/>
  <c r="Q22" i="65"/>
  <c r="E55" i="47" s="1"/>
  <c r="Q25" i="65"/>
  <c r="E58" i="28" s="1"/>
  <c r="P26" i="65"/>
  <c r="C59" i="47" s="1"/>
  <c r="Q26" i="65"/>
  <c r="E59" i="28" s="1"/>
  <c r="I45" i="22"/>
  <c r="Z23" i="33" s="1"/>
  <c r="D53" i="74" s="1"/>
  <c r="H6" i="3"/>
  <c r="D14" i="69"/>
  <c r="J64" i="22"/>
  <c r="AA33" i="33" s="1"/>
  <c r="E55" i="74" s="1"/>
  <c r="JS79" i="28"/>
  <c r="KE41" i="28"/>
  <c r="DS79" i="28"/>
  <c r="HS79" i="28"/>
  <c r="DQ79" i="28"/>
  <c r="KQ79" i="28"/>
  <c r="DD79" i="28"/>
  <c r="CD27" i="28"/>
  <c r="KR79" i="28"/>
  <c r="CD79" i="28"/>
  <c r="MD79" i="28"/>
  <c r="MF79" i="28"/>
  <c r="CF79" i="28"/>
  <c r="DF79" i="28"/>
  <c r="JQ79" i="28"/>
  <c r="HE50" i="28"/>
  <c r="JE41" i="28"/>
  <c r="LS27" i="28"/>
  <c r="LS29" i="28"/>
  <c r="FS41" i="28"/>
  <c r="LR29" i="28"/>
  <c r="BF41" i="28"/>
  <c r="ER27" i="28"/>
  <c r="LQ27" i="28"/>
  <c r="ES27" i="28"/>
  <c r="IS79" i="28"/>
  <c r="IQ79" i="28"/>
  <c r="FS79" i="28"/>
  <c r="AS41" i="28"/>
  <c r="AF79" i="28"/>
  <c r="FQ41" i="28"/>
  <c r="AD79" i="28"/>
  <c r="JD27" i="28"/>
  <c r="MF41" i="28"/>
  <c r="DS27" i="28"/>
  <c r="ME41" i="28"/>
  <c r="DR27" i="28"/>
  <c r="AD41" i="28"/>
  <c r="FQ79" i="28"/>
  <c r="HR67" i="47"/>
  <c r="ID27" i="28"/>
  <c r="HS67" i="47"/>
  <c r="EQ79" i="28"/>
  <c r="ER79" i="28"/>
  <c r="AF29" i="28"/>
  <c r="DD29" i="28"/>
  <c r="IF27" i="28"/>
  <c r="AF41" i="28"/>
  <c r="LF62" i="28"/>
  <c r="DE29" i="28"/>
  <c r="AR41" i="28"/>
  <c r="C9" i="28"/>
  <c r="Q25" i="64"/>
  <c r="Q27" i="64"/>
  <c r="E53" i="47" s="1"/>
  <c r="P27" i="64"/>
  <c r="P22" i="64"/>
  <c r="C48" i="47" s="1"/>
  <c r="Q24" i="64"/>
  <c r="E50" i="47" s="1"/>
  <c r="L54" i="33"/>
  <c r="K49" i="33"/>
  <c r="LF24" i="28"/>
  <c r="LE24" i="28"/>
  <c r="Q23" i="64"/>
  <c r="IR29" i="28"/>
  <c r="P25" i="64"/>
  <c r="Q26" i="64"/>
  <c r="P23" i="64"/>
  <c r="C49" i="47" s="1"/>
  <c r="P26" i="64"/>
  <c r="HS27" i="28"/>
  <c r="KD29" i="28"/>
  <c r="FF41" i="28"/>
  <c r="C28" i="47"/>
  <c r="BW28" i="47" s="1"/>
  <c r="HR27" i="28"/>
  <c r="JS41" i="28"/>
  <c r="GQ29" i="28"/>
  <c r="FD41" i="28"/>
  <c r="KF29" i="28"/>
  <c r="JR41" i="28"/>
  <c r="E24" i="3"/>
  <c r="D94" i="48"/>
  <c r="I65" i="22"/>
  <c r="Z38" i="33" s="1"/>
  <c r="D56" i="74" s="1"/>
  <c r="I41" i="22"/>
  <c r="W23" i="33" s="1"/>
  <c r="D47" i="74" s="1"/>
  <c r="H7" i="3"/>
  <c r="J20" i="22"/>
  <c r="AA13" i="33" s="1"/>
  <c r="E51" i="74" s="1"/>
  <c r="D65" i="48"/>
  <c r="I17" i="22"/>
  <c r="W13" i="33" s="1"/>
  <c r="D45" i="74" s="1"/>
  <c r="E54" i="48"/>
  <c r="D6" i="69"/>
  <c r="Q6" i="69" s="1"/>
  <c r="J69" i="22"/>
  <c r="E90" i="48" s="1"/>
  <c r="D14" i="65"/>
  <c r="MD80" i="28"/>
  <c r="IE79" i="28"/>
  <c r="K48" i="33"/>
  <c r="IF79" i="28"/>
  <c r="Q27" i="28"/>
  <c r="R27" i="28"/>
  <c r="MD27" i="28"/>
  <c r="BE41" i="28"/>
  <c r="AS79" i="28"/>
  <c r="MF27" i="28"/>
  <c r="AR79" i="28"/>
  <c r="K47" i="33"/>
  <c r="IS29" i="28"/>
  <c r="Q27" i="71"/>
  <c r="E46" i="28" s="1"/>
  <c r="Q22" i="71"/>
  <c r="E41" i="47" s="1"/>
  <c r="LL41" i="47" s="1"/>
  <c r="P25" i="71"/>
  <c r="C44" i="28" s="1"/>
  <c r="P26" i="71"/>
  <c r="C45" i="28" s="1"/>
  <c r="P24" i="71"/>
  <c r="C43" i="47" s="1"/>
  <c r="DE41" i="28"/>
  <c r="Q24" i="72"/>
  <c r="E36" i="47" s="1"/>
  <c r="P26" i="72"/>
  <c r="P25" i="72"/>
  <c r="Q26" i="72"/>
  <c r="E38" i="47" s="1"/>
  <c r="P23" i="72"/>
  <c r="C35" i="47" s="1"/>
  <c r="Q23" i="72"/>
  <c r="P27" i="72"/>
  <c r="C39" i="47" s="1"/>
  <c r="Q25" i="72"/>
  <c r="E37" i="47" s="1"/>
  <c r="AE80" i="28"/>
  <c r="AF80" i="28"/>
  <c r="Q26" i="70"/>
  <c r="E31" i="47" s="1"/>
  <c r="P22" i="70"/>
  <c r="Q27" i="70"/>
  <c r="E32" i="47" s="1"/>
  <c r="Q22" i="70"/>
  <c r="E27" i="47" s="1"/>
  <c r="Q25" i="70"/>
  <c r="E30" i="47" s="1"/>
  <c r="P27" i="70"/>
  <c r="C32" i="47" s="1"/>
  <c r="Q24" i="70"/>
  <c r="E29" i="47" s="1"/>
  <c r="Q23" i="70"/>
  <c r="E28" i="28" s="1"/>
  <c r="BQ29" i="28"/>
  <c r="BR29" i="28"/>
  <c r="CF41" i="28"/>
  <c r="GE41" i="28"/>
  <c r="LF79" i="28"/>
  <c r="GF41" i="28"/>
  <c r="CD41" i="28"/>
  <c r="LD79" i="28"/>
  <c r="IE41" i="28"/>
  <c r="LR41" i="28"/>
  <c r="IF41" i="28"/>
  <c r="LS41" i="28"/>
  <c r="HD79" i="28"/>
  <c r="HF79" i="28"/>
  <c r="KD27" i="28"/>
  <c r="KF27" i="28"/>
  <c r="FD27" i="28"/>
  <c r="FF27" i="28"/>
  <c r="BS41" i="28"/>
  <c r="BQ41" i="28"/>
  <c r="KS41" i="28"/>
  <c r="KR41" i="28"/>
  <c r="JE29" i="28"/>
  <c r="AD76" i="47"/>
  <c r="BE27" i="28"/>
  <c r="BS27" i="28"/>
  <c r="AS29" i="28"/>
  <c r="FF79" i="28"/>
  <c r="DR41" i="28"/>
  <c r="GR57" i="28"/>
  <c r="BR27" i="28"/>
  <c r="DS41" i="28"/>
  <c r="LF41" i="28"/>
  <c r="BR71" i="47"/>
  <c r="FR27" i="28"/>
  <c r="S41" i="28"/>
  <c r="CE27" i="28"/>
  <c r="FQ27" i="28"/>
  <c r="LD41" i="28"/>
  <c r="R41" i="28"/>
  <c r="FE79" i="28"/>
  <c r="BS71" i="47"/>
  <c r="HR79" i="28"/>
  <c r="JF29" i="28"/>
  <c r="BF27" i="28"/>
  <c r="DR29" i="28"/>
  <c r="Q23" i="63"/>
  <c r="E21" i="47" s="1"/>
  <c r="Q26" i="63"/>
  <c r="E24" i="47" s="1"/>
  <c r="P22" i="63"/>
  <c r="C20" i="47" s="1"/>
  <c r="P27" i="63"/>
  <c r="Q22" i="63"/>
  <c r="E20" i="47" s="1"/>
  <c r="Q27" i="63"/>
  <c r="P23" i="63"/>
  <c r="Q24" i="63"/>
  <c r="E22" i="28" s="1"/>
  <c r="B48" i="33"/>
  <c r="B54" i="33"/>
  <c r="C54" i="33"/>
  <c r="CD29" i="28"/>
  <c r="AS27" i="28"/>
  <c r="HS41" i="28"/>
  <c r="B47" i="33"/>
  <c r="CE29" i="28"/>
  <c r="AQ27" i="28"/>
  <c r="HQ41" i="28"/>
  <c r="ED71" i="47"/>
  <c r="GR41" i="28"/>
  <c r="GS41" i="28"/>
  <c r="CS41" i="28"/>
  <c r="CQ79" i="28"/>
  <c r="CR79" i="28"/>
  <c r="CQ41" i="28"/>
  <c r="CF71" i="47"/>
  <c r="HD41" i="28"/>
  <c r="HE41" i="28"/>
  <c r="BR79" i="28"/>
  <c r="IQ41" i="28"/>
  <c r="BS79" i="28"/>
  <c r="JS71" i="47"/>
  <c r="LE71" i="47"/>
  <c r="IR41" i="28"/>
  <c r="GS71" i="28"/>
  <c r="JF71" i="47"/>
  <c r="ME80" i="28"/>
  <c r="GQ71" i="28"/>
  <c r="EF71" i="47"/>
  <c r="JR71" i="47"/>
  <c r="Q25" i="62"/>
  <c r="P24" i="62"/>
  <c r="C15" i="28" s="1"/>
  <c r="P22" i="62"/>
  <c r="C13" i="47" s="1"/>
  <c r="Q26" i="62"/>
  <c r="E17" i="47" s="1"/>
  <c r="Q27" i="62"/>
  <c r="E18" i="47" s="1"/>
  <c r="P23" i="62"/>
  <c r="C14" i="47" s="1"/>
  <c r="LE29" i="28"/>
  <c r="DD80" i="28"/>
  <c r="DE80" i="28"/>
  <c r="LD71" i="47"/>
  <c r="JE71" i="47"/>
  <c r="CD71" i="47"/>
  <c r="IF71" i="47"/>
  <c r="IE71" i="47"/>
  <c r="Q26" i="61"/>
  <c r="E10" i="47" s="1"/>
  <c r="Q22" i="61"/>
  <c r="E6" i="47" s="1"/>
  <c r="P23" i="61"/>
  <c r="C7" i="47" s="1"/>
  <c r="P27" i="61"/>
  <c r="C11" i="47" s="1"/>
  <c r="P22" i="61"/>
  <c r="ER71" i="47"/>
  <c r="EQ71" i="47"/>
  <c r="ES71" i="47"/>
  <c r="Q25" i="61"/>
  <c r="E9" i="47" s="1"/>
  <c r="Q24" i="61"/>
  <c r="E8" i="47" s="1"/>
  <c r="J45" i="22"/>
  <c r="J65" i="22"/>
  <c r="N8" i="48"/>
  <c r="AZ8" i="33" s="1"/>
  <c r="D7" i="67"/>
  <c r="H26" i="3"/>
  <c r="J48" i="22"/>
  <c r="J71" i="22"/>
  <c r="E92" i="48" s="1"/>
  <c r="D17" i="66"/>
  <c r="I34" i="22"/>
  <c r="D47" i="48" s="1"/>
  <c r="B27" i="3"/>
  <c r="D28" i="48"/>
  <c r="I62" i="22"/>
  <c r="K33" i="33" s="1"/>
  <c r="CQ80" i="28"/>
  <c r="BE29" i="28"/>
  <c r="GF29" i="28"/>
  <c r="IE80" i="28"/>
  <c r="EE24" i="28"/>
  <c r="BF29" i="28"/>
  <c r="ED24" i="28"/>
  <c r="IF29" i="28"/>
  <c r="I26" i="22"/>
  <c r="J74" i="22"/>
  <c r="H18" i="3"/>
  <c r="D5" i="68"/>
  <c r="I50" i="22"/>
  <c r="LF46" i="47"/>
  <c r="LD46" i="47"/>
  <c r="AE76" i="47"/>
  <c r="BQ72" i="28"/>
  <c r="BS72" i="28"/>
  <c r="ER29" i="28"/>
  <c r="CS13" i="28"/>
  <c r="EQ29" i="28"/>
  <c r="E86" i="48"/>
  <c r="GD72" i="28"/>
  <c r="E97" i="48"/>
  <c r="GF72" i="28"/>
  <c r="IS43" i="28"/>
  <c r="S29" i="28"/>
  <c r="AS83" i="28"/>
  <c r="D14" i="48"/>
  <c r="R18" i="33"/>
  <c r="E34" i="74"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D6" i="74" s="1"/>
  <c r="Q8" i="61"/>
  <c r="I56" i="22"/>
  <c r="B33" i="33" s="1"/>
  <c r="D7" i="74" s="1"/>
  <c r="HE29" i="28"/>
  <c r="ES80" i="28"/>
  <c r="E57" i="48"/>
  <c r="FR29" i="28"/>
  <c r="AD29" i="28"/>
  <c r="GS29" i="28"/>
  <c r="ME29" i="28"/>
  <c r="GS57" i="28"/>
  <c r="HQ29" i="28"/>
  <c r="D17" i="72"/>
  <c r="AR29" i="28"/>
  <c r="ER80" i="28"/>
  <c r="E14" i="48"/>
  <c r="HF29" i="28"/>
  <c r="EE80" i="28"/>
  <c r="MF29" i="28"/>
  <c r="IQ76" i="47"/>
  <c r="E68" i="48"/>
  <c r="D77" i="48"/>
  <c r="U13" i="33"/>
  <c r="E39" i="74" s="1"/>
  <c r="HR29" i="28"/>
  <c r="FQ29" i="28"/>
  <c r="HE48" i="28"/>
  <c r="GF80" i="28"/>
  <c r="EF80" i="28"/>
  <c r="EQ71" i="28"/>
  <c r="GE80" i="28"/>
  <c r="CQ44" i="47"/>
  <c r="JF80" i="28"/>
  <c r="FS71" i="28"/>
  <c r="IQ43" i="28"/>
  <c r="D85"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73" i="48"/>
  <c r="KS71" i="28"/>
  <c r="DR80" i="28"/>
  <c r="DD62" i="28"/>
  <c r="HR80" i="28"/>
  <c r="O13" i="33"/>
  <c r="E27" i="74" s="1"/>
  <c r="Q38" i="33"/>
  <c r="D37" i="74" s="1"/>
  <c r="ME76" i="47"/>
  <c r="AR48" i="28"/>
  <c r="CF71" i="28"/>
  <c r="D54" i="48"/>
  <c r="AQ48" i="28"/>
  <c r="KR71" i="28"/>
  <c r="IE79" i="47"/>
  <c r="CD71" i="28"/>
  <c r="E40" i="48"/>
  <c r="ID79" i="47"/>
  <c r="DS80" i="28"/>
  <c r="DF62" i="28"/>
  <c r="D81" i="48"/>
  <c r="KF53" i="28"/>
  <c r="FD20" i="28"/>
  <c r="D96" i="48"/>
  <c r="ER24" i="28"/>
  <c r="D14" i="64"/>
  <c r="D21" i="48"/>
  <c r="E71" i="48"/>
  <c r="Q8" i="70"/>
  <c r="D68" i="48"/>
  <c r="EQ24" i="28"/>
  <c r="ES71" i="28"/>
  <c r="FF20" i="28"/>
  <c r="D91" i="48"/>
  <c r="E56" i="48"/>
  <c r="CF24" i="28"/>
  <c r="LD71" i="28"/>
  <c r="D51" i="48"/>
  <c r="CD24" i="28"/>
  <c r="H23" i="33"/>
  <c r="D18" i="74" s="1"/>
  <c r="D17" i="63"/>
  <c r="X38" i="33"/>
  <c r="E49" i="74" s="1"/>
  <c r="CQ24" i="28"/>
  <c r="AE71" i="28"/>
  <c r="E7" i="48"/>
  <c r="Q6" i="64"/>
  <c r="DE71" i="28"/>
  <c r="E67" i="48"/>
  <c r="E62"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E28" i="33"/>
  <c r="D11" i="74" s="1"/>
  <c r="Q70" i="47"/>
  <c r="AE63" i="28"/>
  <c r="AF53" i="47"/>
  <c r="DS83" i="28"/>
  <c r="CQ20" i="28"/>
  <c r="CS62" i="28"/>
  <c r="CF83" i="47"/>
  <c r="D69" i="28"/>
  <c r="IK69" i="28" s="1"/>
  <c r="HE63" i="28"/>
  <c r="HQ20" i="28"/>
  <c r="HS24" i="28"/>
  <c r="BR48" i="28"/>
  <c r="FD72" i="28"/>
  <c r="FD53" i="28"/>
  <c r="FF24" i="28"/>
  <c r="BF44" i="47"/>
  <c r="LQ44" i="47"/>
  <c r="ER58" i="47"/>
  <c r="LQ24" i="28"/>
  <c r="EF39" i="47"/>
  <c r="S17" i="28"/>
  <c r="K23" i="33"/>
  <c r="D23" i="74" s="1"/>
  <c r="GQ44" i="47"/>
  <c r="B70" i="47"/>
  <c r="II70" i="47" s="1"/>
  <c r="EE83" i="28"/>
  <c r="IQ21" i="28"/>
  <c r="ED83" i="28"/>
  <c r="IF7" i="28"/>
  <c r="CF21" i="28"/>
  <c r="D69" i="47"/>
  <c r="HX69" i="47" s="1"/>
  <c r="BS46" i="28"/>
  <c r="LF63" i="28"/>
  <c r="E65" i="48"/>
  <c r="R33" i="33"/>
  <c r="E38" i="74" s="1"/>
  <c r="HE79" i="47"/>
  <c r="KF63" i="28"/>
  <c r="KF50" i="47"/>
  <c r="CD13" i="28"/>
  <c r="D79" i="48"/>
  <c r="MD39" i="47"/>
  <c r="EQ53" i="47"/>
  <c r="D20" i="48"/>
  <c r="KF62" i="28"/>
  <c r="CS72" i="28"/>
  <c r="W38" i="33"/>
  <c r="D49" i="74" s="1"/>
  <c r="Q13" i="33"/>
  <c r="D33" i="74" s="1"/>
  <c r="ES50" i="47"/>
  <c r="BQ44" i="47"/>
  <c r="ER53" i="47"/>
  <c r="H33" i="33"/>
  <c r="D19" i="74" s="1"/>
  <c r="ER88" i="28"/>
  <c r="Q13" i="28"/>
  <c r="GS35" i="28"/>
  <c r="EQ88" i="28"/>
  <c r="IE53" i="47"/>
  <c r="DQ29" i="47"/>
  <c r="D57" i="48"/>
  <c r="GR46" i="28"/>
  <c r="AQ21" i="28"/>
  <c r="GD21" i="28"/>
  <c r="GD87" i="28"/>
  <c r="KS20" i="28"/>
  <c r="LF70" i="47"/>
  <c r="KE7" i="28"/>
  <c r="AS24" i="28"/>
  <c r="DS24" i="28"/>
  <c r="ME88" i="28"/>
  <c r="S20" i="28"/>
  <c r="BD62" i="28"/>
  <c r="ID7" i="28"/>
  <c r="CE21" i="28"/>
  <c r="AD63" i="28"/>
  <c r="CE83" i="47"/>
  <c r="H28" i="33"/>
  <c r="D17" i="74" s="1"/>
  <c r="HR24" i="28"/>
  <c r="GF24" i="28"/>
  <c r="HR20" i="28"/>
  <c r="HD20" i="28"/>
  <c r="Q8" i="69"/>
  <c r="D82" i="48"/>
  <c r="AR24" i="28"/>
  <c r="S30" i="28"/>
  <c r="AS76" i="47"/>
  <c r="AR20" i="28"/>
  <c r="HD79" i="47"/>
  <c r="FF72" i="28"/>
  <c r="IR7" i="28"/>
  <c r="D76" i="48"/>
  <c r="LQ85" i="28"/>
  <c r="AQ76" i="47"/>
  <c r="EE76" i="47"/>
  <c r="D16" i="69"/>
  <c r="EE46" i="28"/>
  <c r="AS20" i="28"/>
  <c r="CR79" i="47"/>
  <c r="D95" i="48"/>
  <c r="D15" i="66"/>
  <c r="IL69" i="28"/>
  <c r="LS30" i="28"/>
  <c r="ED76" i="47"/>
  <c r="GR69" i="28"/>
  <c r="EF46" i="28"/>
  <c r="CS79" i="47"/>
  <c r="E70" i="48"/>
  <c r="LR30" i="28"/>
  <c r="GD24" i="28"/>
  <c r="HE20" i="28"/>
  <c r="CS20" i="28"/>
  <c r="KR70" i="47"/>
  <c r="HR21" i="28"/>
  <c r="D16" i="65"/>
  <c r="BQ53" i="47"/>
  <c r="BQ85" i="28"/>
  <c r="KS70" i="47"/>
  <c r="AD13" i="28"/>
  <c r="R70" i="47"/>
  <c r="EF20" i="28"/>
  <c r="ME50" i="47"/>
  <c r="LD7" i="28"/>
  <c r="C38" i="33"/>
  <c r="E8" i="74" s="1"/>
  <c r="E51" i="48"/>
  <c r="FF13" i="28"/>
  <c r="LR79" i="47"/>
  <c r="LF7" i="28"/>
  <c r="D84" i="48"/>
  <c r="LS79" i="47"/>
  <c r="BQ24" i="28"/>
  <c r="GR11" i="47"/>
  <c r="D5" i="48"/>
  <c r="Q29" i="47"/>
  <c r="CE63" i="28"/>
  <c r="BS24" i="28"/>
  <c r="KQ24" i="28"/>
  <c r="CD58" i="47"/>
  <c r="JD67" i="47"/>
  <c r="S29" i="47"/>
  <c r="E89"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50" i="48"/>
  <c r="E80"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D60" i="74"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4"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E74"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Q6" i="70"/>
  <c r="FR24" i="28"/>
  <c r="MF53" i="47"/>
  <c r="LR62" i="28"/>
  <c r="MF20" i="28"/>
  <c r="CF35" i="28"/>
  <c r="HE21" i="28"/>
  <c r="E37" i="48"/>
  <c r="ME53" i="47"/>
  <c r="GD67" i="47"/>
  <c r="BD13" i="28"/>
  <c r="LR39" i="47"/>
  <c r="FS46" i="28"/>
  <c r="MD20" i="28"/>
  <c r="HQ79" i="47"/>
  <c r="HR79" i="47"/>
  <c r="E11" i="48"/>
  <c r="BE13" i="28"/>
  <c r="LS39" i="47"/>
  <c r="FQ46" i="28"/>
  <c r="FE21" i="28"/>
  <c r="GS17" i="28"/>
  <c r="D87"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24" i="48"/>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B13" i="3"/>
  <c r="D6" i="62"/>
  <c r="J29" i="22"/>
  <c r="I55" i="22"/>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2"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7" i="48"/>
  <c r="JF18" i="47"/>
  <c r="KE53" i="47"/>
  <c r="FE62" i="28"/>
  <c r="ER83" i="28"/>
  <c r="LS88" i="28"/>
  <c r="E45" i="48"/>
  <c r="Y69" i="28"/>
  <c r="FE44" i="47"/>
  <c r="ID67" i="47"/>
  <c r="E60" i="48"/>
  <c r="FL69" i="28"/>
  <c r="FD44" i="47"/>
  <c r="EQ58" i="47"/>
  <c r="IE67" i="47"/>
  <c r="LS29" i="47"/>
  <c r="AS35" i="28"/>
  <c r="LR86" i="28"/>
  <c r="LQ88" i="28"/>
  <c r="DL69" i="28"/>
  <c r="LR36" i="47"/>
  <c r="CS46" i="28"/>
  <c r="HQ21" i="28"/>
  <c r="ID58" i="47"/>
  <c r="CD50" i="47"/>
  <c r="ME13" i="28"/>
  <c r="HF13" i="28"/>
  <c r="BR53" i="47"/>
  <c r="BS48" i="28"/>
  <c r="LD39" i="47"/>
  <c r="CR62" i="28"/>
  <c r="E95"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8" i="48"/>
  <c r="GE63" i="28"/>
  <c r="AD21" i="28"/>
  <c r="KR7" i="28"/>
  <c r="DE86" i="28"/>
  <c r="LS17" i="28"/>
  <c r="E84"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FF36" i="47"/>
  <c r="GS44" i="47"/>
  <c r="JQ13" i="28"/>
  <c r="GS50" i="47"/>
  <c r="IF50" i="28"/>
  <c r="ED53" i="47"/>
  <c r="DS60" i="47"/>
  <c r="EE39" i="47"/>
  <c r="HE44" i="47"/>
  <c r="FE35" i="28"/>
  <c r="HD17" i="28"/>
  <c r="KR17" i="28"/>
  <c r="KR63" i="28"/>
  <c r="E81" i="48"/>
  <c r="GS13" i="28"/>
  <c r="LS50" i="47"/>
  <c r="ID69" i="28"/>
  <c r="JD13" i="28"/>
  <c r="ME62" i="28"/>
  <c r="GS46" i="28"/>
  <c r="FE39" i="47"/>
  <c r="D55" i="48"/>
  <c r="BQ7" i="28"/>
  <c r="KQ17" i="28"/>
  <c r="GD85" i="28"/>
  <c r="KQ63" i="28"/>
  <c r="D89" i="48"/>
  <c r="AQ58" i="47"/>
  <c r="GQ13" i="28"/>
  <c r="LQ50" i="47"/>
  <c r="IE69" i="28"/>
  <c r="LE69" i="28"/>
  <c r="LF50" i="47"/>
  <c r="S46" i="28"/>
  <c r="MD62" i="28"/>
  <c r="FF39" i="47"/>
  <c r="JR62" i="28"/>
  <c r="IE35" i="28"/>
  <c r="DS35" i="28"/>
  <c r="DQ35" i="28"/>
  <c r="DR35" i="28"/>
  <c r="IR83" i="28"/>
  <c r="BR7" i="28"/>
  <c r="JE63" i="28"/>
  <c r="GE85" i="28"/>
  <c r="IS17" i="28"/>
  <c r="JD7" i="28"/>
  <c r="MF83" i="47"/>
  <c r="GS86" i="28"/>
  <c r="BF87" i="28"/>
  <c r="E34" i="48"/>
  <c r="AR30" i="28"/>
  <c r="AR58" i="47"/>
  <c r="LF69" i="28"/>
  <c r="LE50" i="47"/>
  <c r="Q46" i="28"/>
  <c r="KR35" i="28"/>
  <c r="JQ62" i="28"/>
  <c r="IF35" i="28"/>
  <c r="JF53" i="28"/>
  <c r="JD63" i="28"/>
  <c r="S7" i="28"/>
  <c r="BE87" i="28"/>
  <c r="AD73" i="28"/>
  <c r="ID46" i="28"/>
  <c r="KQ35" i="28"/>
  <c r="JD53" i="28"/>
  <c r="R7" i="28"/>
  <c r="AE73" i="28"/>
  <c r="JR13" i="28"/>
  <c r="IE50" i="28"/>
  <c r="IF46" i="28"/>
  <c r="EF53" i="47"/>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D92" i="48"/>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70" i="48"/>
  <c r="E33" i="33"/>
  <c r="D13" i="74" s="1"/>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D27" i="74" s="1"/>
  <c r="D17" i="48"/>
  <c r="R46" i="47"/>
  <c r="S46" i="47"/>
  <c r="Q46" i="47"/>
  <c r="GS46" i="47"/>
  <c r="GR46" i="47"/>
  <c r="GQ46" i="47"/>
  <c r="EE46" i="47"/>
  <c r="ED46" i="47"/>
  <c r="EF46" i="47"/>
  <c r="T23" i="33"/>
  <c r="D41" i="74" s="1"/>
  <c r="D56" i="48"/>
  <c r="AC13" i="33"/>
  <c r="D57" i="74" s="1"/>
  <c r="D30" i="48"/>
  <c r="Q5" i="72"/>
  <c r="D14" i="72"/>
  <c r="KE46" i="47"/>
  <c r="KD46" i="47"/>
  <c r="KF46" i="47"/>
  <c r="DQ46" i="47"/>
  <c r="DR46" i="47"/>
  <c r="DS46" i="47"/>
  <c r="BQ46" i="47"/>
  <c r="BR46" i="47"/>
  <c r="BS46" i="47"/>
  <c r="O38" i="33"/>
  <c r="E31" i="74" s="1"/>
  <c r="E76" i="48"/>
  <c r="IQ46" i="47"/>
  <c r="IR46" i="47"/>
  <c r="IS46" i="47"/>
  <c r="JR46" i="47"/>
  <c r="JS46" i="47"/>
  <c r="JQ46" i="47"/>
  <c r="HE46" i="47"/>
  <c r="HF46" i="47"/>
  <c r="HD46" i="47"/>
  <c r="Z18" i="33"/>
  <c r="D52" i="74" s="1"/>
  <c r="D26" i="48"/>
  <c r="W18" i="33"/>
  <c r="D46" i="74" s="1"/>
  <c r="D22" i="48"/>
  <c r="N23" i="33"/>
  <c r="D29" i="74" s="1"/>
  <c r="D45" i="48"/>
  <c r="Q18" i="33"/>
  <c r="D34" i="74" s="1"/>
  <c r="D16" i="48"/>
  <c r="HS46" i="47"/>
  <c r="HR46" i="47"/>
  <c r="HQ46" i="47"/>
  <c r="CQ46" i="47"/>
  <c r="CS46" i="47"/>
  <c r="CR46" i="47"/>
  <c r="FD46" i="47"/>
  <c r="FE46" i="47"/>
  <c r="FF46" i="47"/>
  <c r="AG18" i="33"/>
  <c r="E64" i="74" s="1"/>
  <c r="E33" i="48"/>
  <c r="ER46" i="47"/>
  <c r="ES46" i="47"/>
  <c r="EQ46" i="47"/>
  <c r="BF46" i="47"/>
  <c r="BD46" i="47"/>
  <c r="BE46" i="47"/>
  <c r="CD46" i="47"/>
  <c r="CF46" i="47"/>
  <c r="CE46" i="47"/>
  <c r="D17" i="68"/>
  <c r="Q8" i="68"/>
  <c r="Q7" i="67"/>
  <c r="D16" i="67"/>
  <c r="IF46" i="47"/>
  <c r="ID46" i="47"/>
  <c r="IE46" i="47"/>
  <c r="AQ46" i="47"/>
  <c r="AR46" i="47"/>
  <c r="AS46" i="47"/>
  <c r="AF46" i="47"/>
  <c r="AD46" i="47"/>
  <c r="AE46" i="47"/>
  <c r="X18" i="33"/>
  <c r="E46" i="74" s="1"/>
  <c r="E22" i="48"/>
  <c r="JE46" i="47"/>
  <c r="JF46" i="47"/>
  <c r="JD46" i="47"/>
  <c r="LQ46" i="47"/>
  <c r="LS46" i="47"/>
  <c r="LR46" i="47"/>
  <c r="GF46" i="47"/>
  <c r="GE46" i="47"/>
  <c r="GD46" i="47"/>
  <c r="W28" i="33"/>
  <c r="D48" i="74" s="1"/>
  <c r="D49" i="48"/>
  <c r="AJ23" i="33"/>
  <c r="E71" i="74" s="1"/>
  <c r="E59"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LR83"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AF55" i="47"/>
  <c r="AE55" i="47"/>
  <c r="AD55" i="47"/>
  <c r="DQ55" i="47"/>
  <c r="DS55" i="47"/>
  <c r="DR55" i="47"/>
  <c r="CF55" i="47"/>
  <c r="CE55" i="47"/>
  <c r="CD55" i="47"/>
  <c r="R63" i="47"/>
  <c r="S63" i="47"/>
  <c r="Q63" i="47"/>
  <c r="FF63" i="47"/>
  <c r="FD63" i="47"/>
  <c r="FE63" i="47"/>
  <c r="BD63" i="47"/>
  <c r="BE63" i="47"/>
  <c r="BF63" i="47"/>
  <c r="GS63" i="47"/>
  <c r="GQ63" i="47"/>
  <c r="GR63" i="47"/>
  <c r="E59" i="47"/>
  <c r="IF55" i="47"/>
  <c r="IE55" i="47"/>
  <c r="ID55" i="47"/>
  <c r="HD55" i="47"/>
  <c r="HE55" i="47"/>
  <c r="HF55" i="47"/>
  <c r="IS55" i="47"/>
  <c r="IR55" i="47"/>
  <c r="IQ55" i="47"/>
  <c r="JR63" i="47"/>
  <c r="JQ63" i="47"/>
  <c r="JS63" i="47"/>
  <c r="AR63" i="47"/>
  <c r="AS63" i="47"/>
  <c r="AQ63" i="47"/>
  <c r="HF63" i="47"/>
  <c r="HD63" i="47"/>
  <c r="HE6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GS55" i="47"/>
  <c r="GR55" i="47"/>
  <c r="GQ55" i="47"/>
  <c r="LE55" i="47"/>
  <c r="LD55" i="47"/>
  <c r="LF55" i="47"/>
  <c r="FF55" i="47"/>
  <c r="FE55" i="47"/>
  <c r="FD55" i="47"/>
  <c r="LS55" i="47"/>
  <c r="LQ55" i="47"/>
  <c r="LR55" i="47"/>
  <c r="CR63" i="47"/>
  <c r="CS63" i="47"/>
  <c r="CQ63" i="47"/>
  <c r="ES63" i="47"/>
  <c r="ER63" i="47"/>
  <c r="EQ63" i="47"/>
  <c r="FS63" i="47"/>
  <c r="FQ63" i="47"/>
  <c r="FR63" i="47"/>
  <c r="CF56" i="47"/>
  <c r="CE56" i="47"/>
  <c r="CD56" i="47"/>
  <c r="DF56" i="47"/>
  <c r="DD56" i="47"/>
  <c r="DE56" i="47"/>
  <c r="BS56" i="47"/>
  <c r="BR56" i="47"/>
  <c r="BQ56" i="47"/>
  <c r="KD42" i="47"/>
  <c r="KE42" i="47"/>
  <c r="KF42" i="47"/>
  <c r="AE42" i="47"/>
  <c r="AF42" i="47"/>
  <c r="AD42" i="47"/>
  <c r="FS42" i="47"/>
  <c r="FR42" i="47"/>
  <c r="FQ42" i="47"/>
  <c r="DF83" i="47"/>
  <c r="DD83" i="47"/>
  <c r="DE83" i="47"/>
  <c r="JF83" i="47"/>
  <c r="JD83" i="47"/>
  <c r="JE83" i="47"/>
  <c r="C88" i="28"/>
  <c r="C88" i="47"/>
  <c r="LS56" i="47"/>
  <c r="LR56" i="47"/>
  <c r="LQ56" i="47"/>
  <c r="ED56" i="47"/>
  <c r="EF56" i="47"/>
  <c r="EE56" i="47"/>
  <c r="KQ56" i="47"/>
  <c r="KR56" i="47"/>
  <c r="KS56" i="47"/>
  <c r="JE42" i="47"/>
  <c r="JD42" i="47"/>
  <c r="JF42" i="47"/>
  <c r="HE42" i="47"/>
  <c r="HF42" i="47"/>
  <c r="HD42" i="47"/>
  <c r="HQ42" i="47"/>
  <c r="HS42" i="47"/>
  <c r="HR42"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MF56" i="47"/>
  <c r="ME56" i="47"/>
  <c r="MD56" i="47"/>
  <c r="S56" i="47"/>
  <c r="R56" i="47"/>
  <c r="Q56" i="47"/>
  <c r="AD56" i="47"/>
  <c r="AF56" i="47"/>
  <c r="AE56" i="47"/>
  <c r="CF42" i="47"/>
  <c r="CD42" i="47"/>
  <c r="CE42" i="47"/>
  <c r="EF42" i="47"/>
  <c r="ED42" i="47"/>
  <c r="EE42" i="47"/>
  <c r="GE42" i="47"/>
  <c r="GF42" i="47"/>
  <c r="GD42" i="47"/>
  <c r="E49" i="47"/>
  <c r="E49" i="28"/>
  <c r="KS83" i="28"/>
  <c r="KR83" i="28"/>
  <c r="KQ83" i="28"/>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KF86" i="28"/>
  <c r="KD86" i="28"/>
  <c r="KE86" i="28"/>
  <c r="EE84" i="28"/>
  <c r="ED84" i="28"/>
  <c r="EF84" i="28"/>
  <c r="GD86" i="28"/>
  <c r="GF86" i="28"/>
  <c r="GE86" i="28"/>
  <c r="CR85" i="28"/>
  <c r="CS85" i="28"/>
  <c r="CQ85" i="28"/>
  <c r="ID85" i="28"/>
  <c r="IE85" i="28"/>
  <c r="IF85" i="28"/>
  <c r="IF86" i="28"/>
  <c r="IE86" i="28"/>
  <c r="ID86" i="28"/>
  <c r="JQ84" i="28"/>
  <c r="JS84" i="28"/>
  <c r="JR84" i="28"/>
  <c r="BD85" i="28"/>
  <c r="BE85" i="28"/>
  <c r="BF85" i="28"/>
  <c r="IS85" i="28"/>
  <c r="IR85" i="28"/>
  <c r="IQ85" i="28"/>
  <c r="CD86" i="28"/>
  <c r="CF86" i="28"/>
  <c r="CE86" i="28"/>
  <c r="HE84" i="28"/>
  <c r="HF84" i="28"/>
  <c r="HD84" i="28"/>
  <c r="CE85" i="28"/>
  <c r="CD85" i="28"/>
  <c r="CF85" i="28"/>
  <c r="JS85" i="28"/>
  <c r="JR85" i="28"/>
  <c r="JQ85" i="28"/>
  <c r="BR86" i="28"/>
  <c r="BS86" i="28"/>
  <c r="BQ86" i="28"/>
  <c r="BS84" i="28"/>
  <c r="BR84" i="28"/>
  <c r="BQ84" i="28"/>
  <c r="JS87" i="47"/>
  <c r="JR87" i="47"/>
  <c r="JQ87" i="47"/>
  <c r="HD87" i="47"/>
  <c r="HE87" i="47"/>
  <c r="HF87" i="47"/>
  <c r="W49" i="33"/>
  <c r="W47" i="33"/>
  <c r="W48" i="33"/>
  <c r="X54" i="33"/>
  <c r="W54" i="33"/>
  <c r="C87" i="47"/>
  <c r="FS87" i="47"/>
  <c r="FQ87" i="47"/>
  <c r="FR87" i="47"/>
  <c r="N47" i="33"/>
  <c r="N49" i="33"/>
  <c r="N54" i="33"/>
  <c r="O54" i="33"/>
  <c r="N48" i="33"/>
  <c r="FE87" i="47"/>
  <c r="FF87" i="47"/>
  <c r="FD87" i="47"/>
  <c r="T49" i="33"/>
  <c r="T54" i="33"/>
  <c r="U54" i="33"/>
  <c r="T47" i="33"/>
  <c r="T48" i="33"/>
  <c r="AO49" i="33"/>
  <c r="AP54" i="33"/>
  <c r="AO48" i="33"/>
  <c r="AO47" i="33"/>
  <c r="AO54" i="33"/>
  <c r="C86" i="47"/>
  <c r="C86" i="28"/>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85" i="28"/>
  <c r="C85" i="47"/>
  <c r="AR87" i="47"/>
  <c r="AS87" i="47"/>
  <c r="AQ87" i="47"/>
  <c r="JF87" i="47"/>
  <c r="JD87" i="47"/>
  <c r="JE87" i="47"/>
  <c r="EE87" i="47"/>
  <c r="ED87" i="47"/>
  <c r="EF87" i="47"/>
  <c r="AM54" i="33"/>
  <c r="AL47" i="33"/>
  <c r="AL48" i="33"/>
  <c r="AL49" i="33"/>
  <c r="AL54" i="33"/>
  <c r="C83" i="47"/>
  <c r="BR87" i="47"/>
  <c r="BQ87" i="47"/>
  <c r="BS87" i="47"/>
  <c r="IR87" i="47"/>
  <c r="IQ87" i="47"/>
  <c r="IS87" i="47"/>
  <c r="BF87" i="47"/>
  <c r="BE87" i="47"/>
  <c r="BD87" i="47"/>
  <c r="AU47" i="33"/>
  <c r="AU54" i="33"/>
  <c r="AV54" i="33"/>
  <c r="AU49" i="33"/>
  <c r="AU48" i="33"/>
  <c r="C81" i="47"/>
  <c r="C81" i="28"/>
  <c r="GD87" i="47"/>
  <c r="GE87" i="47"/>
  <c r="GF87" i="47"/>
  <c r="E63" i="47"/>
  <c r="E63" i="28"/>
  <c r="AF87" i="47"/>
  <c r="AD87" i="47"/>
  <c r="AE87" i="47"/>
  <c r="E84" i="28"/>
  <c r="IE87" i="47"/>
  <c r="ID87" i="47"/>
  <c r="IF87" i="47"/>
  <c r="C80" i="47"/>
  <c r="C80" i="28"/>
  <c r="E78" i="47"/>
  <c r="E78" i="28"/>
  <c r="T25" i="68"/>
  <c r="C79" i="47"/>
  <c r="C79" i="28"/>
  <c r="Z25" i="68" l="1"/>
  <c r="Z31" i="67"/>
  <c r="E86" i="47"/>
  <c r="E79" i="28"/>
  <c r="E79" i="47"/>
  <c r="Z31" i="68"/>
  <c r="Z25" i="67"/>
  <c r="T25" i="67"/>
  <c r="Z26" i="65"/>
  <c r="Z26" i="67"/>
  <c r="E53" i="28"/>
  <c r="T23" i="64"/>
  <c r="AA23" i="64" s="1"/>
  <c r="C77" i="28"/>
  <c r="T26" i="65"/>
  <c r="AA26" i="65" s="1"/>
  <c r="Z32" i="65"/>
  <c r="C59" i="28"/>
  <c r="E83" i="28"/>
  <c r="T26" i="67"/>
  <c r="E87" i="28"/>
  <c r="E87" i="47"/>
  <c r="Z32" i="67"/>
  <c r="C62" i="28"/>
  <c r="Q24" i="71"/>
  <c r="Z24" i="71" s="1"/>
  <c r="CY65" i="28"/>
  <c r="L65" i="28"/>
  <c r="E74" i="47"/>
  <c r="JL74" i="47" s="1"/>
  <c r="Z22" i="67"/>
  <c r="T22" i="67"/>
  <c r="Z28" i="67"/>
  <c r="C83" i="28"/>
  <c r="CJ83" i="28" s="1"/>
  <c r="C71" i="47"/>
  <c r="B71" i="47" s="1"/>
  <c r="FL65" i="28"/>
  <c r="KL65" i="28"/>
  <c r="LY65" i="28"/>
  <c r="BY65" i="28"/>
  <c r="GY65" i="28"/>
  <c r="T23" i="67"/>
  <c r="AA29" i="67" s="1"/>
  <c r="CL65" i="28"/>
  <c r="HY65" i="28"/>
  <c r="HL65" i="28"/>
  <c r="P26" i="70"/>
  <c r="C31" i="47" s="1"/>
  <c r="EW31" i="47" s="1"/>
  <c r="D25" i="74"/>
  <c r="Z31" i="69"/>
  <c r="JY65" i="28"/>
  <c r="DL65" i="28"/>
  <c r="AL65" i="28"/>
  <c r="T23" i="66"/>
  <c r="U23" i="66" s="1"/>
  <c r="JL65" i="28"/>
  <c r="D65" i="28"/>
  <c r="LX65" i="28" s="1"/>
  <c r="Z23" i="67"/>
  <c r="Z23" i="66"/>
  <c r="IY65" i="28"/>
  <c r="KY65" i="28"/>
  <c r="Z29" i="67"/>
  <c r="Z29" i="66"/>
  <c r="BL65" i="28"/>
  <c r="Y65" i="28"/>
  <c r="C84" i="47"/>
  <c r="EW84" i="47" s="1"/>
  <c r="EY65" i="28"/>
  <c r="FY65" i="28"/>
  <c r="E70" i="28"/>
  <c r="HY70" i="28" s="1"/>
  <c r="IL65" i="28"/>
  <c r="DY65" i="28"/>
  <c r="Q25" i="71"/>
  <c r="E44" i="47" s="1"/>
  <c r="E36" i="74"/>
  <c r="EL65" i="28"/>
  <c r="AY65" i="28"/>
  <c r="LL65" i="28"/>
  <c r="Q25" i="63"/>
  <c r="E23" i="47" s="1"/>
  <c r="LL23" i="47" s="1"/>
  <c r="Z33" i="66"/>
  <c r="Z33" i="68"/>
  <c r="Q24" i="67"/>
  <c r="T24" i="67" s="1"/>
  <c r="AA30" i="67" s="1"/>
  <c r="E32" i="28"/>
  <c r="JY32" i="28" s="1"/>
  <c r="E81" i="28"/>
  <c r="LL81" i="28" s="1"/>
  <c r="E81" i="47"/>
  <c r="KL81" i="47" s="1"/>
  <c r="Z27" i="66"/>
  <c r="C74" i="47"/>
  <c r="T27" i="66"/>
  <c r="U27" i="66" s="1"/>
  <c r="T26" i="66"/>
  <c r="U26" i="66" s="1"/>
  <c r="Z26" i="66"/>
  <c r="C74" i="28"/>
  <c r="IJ74" i="28" s="1"/>
  <c r="T27" i="68"/>
  <c r="AA33" i="68" s="1"/>
  <c r="Z27" i="68"/>
  <c r="Z32" i="66"/>
  <c r="E31" i="28"/>
  <c r="GL31" i="28" s="1"/>
  <c r="C73" i="28"/>
  <c r="JJ73" i="28" s="1"/>
  <c r="Q23" i="62"/>
  <c r="E14" i="28" s="1"/>
  <c r="JY14" i="28" s="1"/>
  <c r="E73" i="28"/>
  <c r="IY73" i="28" s="1"/>
  <c r="E76" i="28"/>
  <c r="Q23" i="68"/>
  <c r="T23" i="68" s="1"/>
  <c r="AA23" i="68" s="1"/>
  <c r="E50" i="28"/>
  <c r="Y50" i="28" s="1"/>
  <c r="E55" i="28"/>
  <c r="BL55" i="28" s="1"/>
  <c r="AJ38" i="33"/>
  <c r="E74" i="74" s="1"/>
  <c r="D15" i="69"/>
  <c r="C43" i="28"/>
  <c r="JJ43" i="28" s="1"/>
  <c r="T27" i="63"/>
  <c r="V27" i="63" s="1"/>
  <c r="E72" i="47"/>
  <c r="KY72" i="47" s="1"/>
  <c r="E9" i="28"/>
  <c r="HY9" i="28" s="1"/>
  <c r="Z31" i="61"/>
  <c r="T25" i="61"/>
  <c r="Z25" i="61"/>
  <c r="C25" i="47"/>
  <c r="HJ25" i="47" s="1"/>
  <c r="C25" i="28"/>
  <c r="LJ25" i="28" s="1"/>
  <c r="C66" i="28"/>
  <c r="KW66" i="28" s="1"/>
  <c r="Z25" i="69"/>
  <c r="E20" i="28"/>
  <c r="JL20" i="28" s="1"/>
  <c r="C65" i="28"/>
  <c r="JJ65" i="28" s="1"/>
  <c r="E8" i="28"/>
  <c r="KL8" i="28" s="1"/>
  <c r="Z23" i="64"/>
  <c r="C65" i="47"/>
  <c r="FJ65" i="47" s="1"/>
  <c r="Z29" i="64"/>
  <c r="E38" i="28"/>
  <c r="JL38" i="28" s="1"/>
  <c r="C49" i="28"/>
  <c r="DW49" i="28" s="1"/>
  <c r="T25" i="69"/>
  <c r="V25" i="69" s="1"/>
  <c r="P25" i="66"/>
  <c r="Z25" i="66" s="1"/>
  <c r="Z24" i="66"/>
  <c r="T24" i="66"/>
  <c r="AA30" i="66" s="1"/>
  <c r="Z30" i="66"/>
  <c r="P22" i="66"/>
  <c r="DJ70" i="28"/>
  <c r="EJ70" i="28"/>
  <c r="BW70" i="28"/>
  <c r="KW70" i="28"/>
  <c r="LJ70" i="28"/>
  <c r="IW70" i="28"/>
  <c r="GJ70" i="28"/>
  <c r="AJ70" i="28"/>
  <c r="FJ70" i="28"/>
  <c r="JJ70" i="28"/>
  <c r="CJ70" i="28"/>
  <c r="J70" i="28"/>
  <c r="GW70" i="28"/>
  <c r="IJ70" i="28"/>
  <c r="W70" i="28"/>
  <c r="JW70" i="28"/>
  <c r="KJ70" i="28"/>
  <c r="DW70" i="28"/>
  <c r="FW70" i="28"/>
  <c r="CW70" i="28"/>
  <c r="HJ70" i="28"/>
  <c r="BJ70" i="28"/>
  <c r="LW70" i="28"/>
  <c r="HW70" i="28"/>
  <c r="EW70" i="28"/>
  <c r="AW70" i="28"/>
  <c r="E58" i="47"/>
  <c r="AL58" i="47" s="1"/>
  <c r="E71" i="47"/>
  <c r="AY71" i="47" s="1"/>
  <c r="FW70" i="47"/>
  <c r="AJ70" i="47"/>
  <c r="IJ70" i="47"/>
  <c r="HJ70" i="47"/>
  <c r="GJ70" i="47"/>
  <c r="DJ70" i="47"/>
  <c r="BW70" i="47"/>
  <c r="EJ70" i="47"/>
  <c r="W70" i="47"/>
  <c r="LJ70" i="47"/>
  <c r="EW70" i="47"/>
  <c r="DW70" i="47"/>
  <c r="HW70" i="47"/>
  <c r="CJ70" i="47"/>
  <c r="JW70" i="47"/>
  <c r="GW70" i="47"/>
  <c r="JJ70" i="47"/>
  <c r="KW70" i="47"/>
  <c r="CW70" i="47"/>
  <c r="IW70" i="47"/>
  <c r="J70" i="47"/>
  <c r="BJ70" i="47"/>
  <c r="KJ70" i="47"/>
  <c r="LW70" i="47"/>
  <c r="FJ70" i="47"/>
  <c r="AW70" i="47"/>
  <c r="E65" i="47"/>
  <c r="Q22" i="69"/>
  <c r="Z22" i="69" s="1"/>
  <c r="P24" i="69"/>
  <c r="E57" i="28"/>
  <c r="IY57" i="28" s="1"/>
  <c r="P23" i="69"/>
  <c r="T23" i="69" s="1"/>
  <c r="AA29" i="69" s="1"/>
  <c r="P27" i="69"/>
  <c r="Q26" i="69"/>
  <c r="GW28" i="47"/>
  <c r="J28" i="47"/>
  <c r="E22" i="47"/>
  <c r="GL22" i="47" s="1"/>
  <c r="T26" i="72"/>
  <c r="AA32" i="72" s="1"/>
  <c r="T25" i="64"/>
  <c r="U25" i="64" s="1"/>
  <c r="E30" i="28"/>
  <c r="BL30" i="28" s="1"/>
  <c r="Z25" i="64"/>
  <c r="E37" i="28"/>
  <c r="Z31" i="64"/>
  <c r="P23" i="65"/>
  <c r="C56" i="28" s="1"/>
  <c r="Z27" i="64"/>
  <c r="C51" i="28"/>
  <c r="DJ51" i="28" s="1"/>
  <c r="C51" i="47"/>
  <c r="CJ51" i="47" s="1"/>
  <c r="P24" i="65"/>
  <c r="Z26" i="72"/>
  <c r="E18" i="28"/>
  <c r="Z32" i="72"/>
  <c r="C38" i="28"/>
  <c r="JJ38" i="28" s="1"/>
  <c r="Q23" i="65"/>
  <c r="E56" i="47" s="1"/>
  <c r="C38" i="47"/>
  <c r="LJ38" i="47" s="1"/>
  <c r="P25" i="65"/>
  <c r="Z25" i="65" s="1"/>
  <c r="P27" i="65"/>
  <c r="C60" i="47" s="1"/>
  <c r="GW60" i="47" s="1"/>
  <c r="Q27" i="65"/>
  <c r="E60" i="47" s="1"/>
  <c r="HL60" i="47" s="1"/>
  <c r="Z25" i="72"/>
  <c r="Z32" i="64"/>
  <c r="P22" i="65"/>
  <c r="Z22" i="65" s="1"/>
  <c r="Z31" i="72"/>
  <c r="Z33" i="70"/>
  <c r="C37" i="28"/>
  <c r="IJ37" i="28" s="1"/>
  <c r="T26" i="64"/>
  <c r="U26" i="64" s="1"/>
  <c r="C37" i="47"/>
  <c r="GW37" i="47" s="1"/>
  <c r="E52" i="28"/>
  <c r="CL52" i="28" s="1"/>
  <c r="Z26" i="64"/>
  <c r="T25" i="72"/>
  <c r="V25" i="72" s="1"/>
  <c r="E52" i="47"/>
  <c r="HY52" i="47" s="1"/>
  <c r="Z27" i="70"/>
  <c r="C32" i="28"/>
  <c r="LJ32" i="28" s="1"/>
  <c r="T27" i="70"/>
  <c r="U27" i="70" s="1"/>
  <c r="C45" i="47"/>
  <c r="FW45" i="47" s="1"/>
  <c r="T22" i="63"/>
  <c r="V22" i="63" s="1"/>
  <c r="C48" i="28"/>
  <c r="IJ48" i="28" s="1"/>
  <c r="C53" i="28"/>
  <c r="CJ53" i="28" s="1"/>
  <c r="HJ28" i="47"/>
  <c r="IW28" i="47"/>
  <c r="C53" i="47"/>
  <c r="FW53" i="47" s="1"/>
  <c r="BJ28" i="47"/>
  <c r="JJ28" i="47"/>
  <c r="CJ28" i="47"/>
  <c r="AJ28" i="47"/>
  <c r="DJ28" i="47"/>
  <c r="JW28" i="47"/>
  <c r="EJ28" i="47"/>
  <c r="W28" i="47"/>
  <c r="FW28" i="47"/>
  <c r="CW28" i="47"/>
  <c r="FJ28" i="47"/>
  <c r="IJ28" i="47"/>
  <c r="DW28" i="47"/>
  <c r="T27" i="64"/>
  <c r="V27" i="64" s="1"/>
  <c r="KW28" i="47"/>
  <c r="AW28" i="47"/>
  <c r="EW28" i="47"/>
  <c r="Z33" i="64"/>
  <c r="B28" i="47"/>
  <c r="FI28" i="47" s="1"/>
  <c r="GJ28" i="47"/>
  <c r="KJ28" i="47"/>
  <c r="C44" i="47"/>
  <c r="B44" i="47" s="1"/>
  <c r="LW28" i="47"/>
  <c r="LJ28" i="47"/>
  <c r="HW28" i="47"/>
  <c r="D41" i="47"/>
  <c r="LK41" i="47" s="1"/>
  <c r="T22" i="61"/>
  <c r="V22" i="61" s="1"/>
  <c r="E6" i="28"/>
  <c r="D6" i="28" s="1"/>
  <c r="Z28" i="61"/>
  <c r="P24" i="64"/>
  <c r="Z30" i="64" s="1"/>
  <c r="Q22" i="64"/>
  <c r="E48" i="47" s="1"/>
  <c r="DL48" i="47" s="1"/>
  <c r="C52" i="47"/>
  <c r="C52" i="28"/>
  <c r="C6" i="28"/>
  <c r="EJ6" i="28" s="1"/>
  <c r="C6" i="47"/>
  <c r="W6" i="47" s="1"/>
  <c r="E17" i="28"/>
  <c r="HL17" i="28" s="1"/>
  <c r="Z22" i="61"/>
  <c r="C39" i="28"/>
  <c r="KW39" i="28" s="1"/>
  <c r="Z22" i="63"/>
  <c r="Z28" i="63"/>
  <c r="C14" i="28"/>
  <c r="IW14" i="28" s="1"/>
  <c r="E36" i="28"/>
  <c r="KY36" i="28" s="1"/>
  <c r="E10" i="28"/>
  <c r="FY10" i="28" s="1"/>
  <c r="C20" i="28"/>
  <c r="GJ20" i="28" s="1"/>
  <c r="E27" i="28"/>
  <c r="DY27" i="28" s="1"/>
  <c r="E46" i="47"/>
  <c r="HL46" i="47" s="1"/>
  <c r="E41" i="28"/>
  <c r="DY41" i="28" s="1"/>
  <c r="C13" i="28"/>
  <c r="J13" i="28" s="1"/>
  <c r="C11" i="28"/>
  <c r="GW11" i="28" s="1"/>
  <c r="Z33" i="63"/>
  <c r="C35" i="28"/>
  <c r="CJ35" i="28" s="1"/>
  <c r="E25" i="28"/>
  <c r="HY25" i="28" s="1"/>
  <c r="E29" i="28"/>
  <c r="JL29" i="28" s="1"/>
  <c r="E25" i="47"/>
  <c r="FL25" i="47" s="1"/>
  <c r="E21" i="28"/>
  <c r="IY21" i="28" s="1"/>
  <c r="Z27" i="63"/>
  <c r="P22" i="71"/>
  <c r="Z28" i="71" s="1"/>
  <c r="Q26" i="71"/>
  <c r="Z26" i="71" s="1"/>
  <c r="P27" i="71"/>
  <c r="Z33" i="71" s="1"/>
  <c r="Q23" i="71"/>
  <c r="P23" i="71"/>
  <c r="LY41" i="47"/>
  <c r="AY41" i="47"/>
  <c r="HL41" i="47"/>
  <c r="JY41" i="47"/>
  <c r="EL41" i="47"/>
  <c r="IL41" i="47"/>
  <c r="CY41" i="47"/>
  <c r="GY41" i="47"/>
  <c r="GL41" i="47"/>
  <c r="DL41" i="47"/>
  <c r="FY41" i="47"/>
  <c r="L41" i="47"/>
  <c r="BL41" i="47"/>
  <c r="KL41" i="47"/>
  <c r="CL41" i="47"/>
  <c r="JL41" i="47"/>
  <c r="DY41" i="47"/>
  <c r="IY41" i="47"/>
  <c r="Y41" i="47"/>
  <c r="BY41" i="47"/>
  <c r="HY41" i="47"/>
  <c r="FL41" i="47"/>
  <c r="AL41" i="47"/>
  <c r="EY41" i="47"/>
  <c r="KY41" i="47"/>
  <c r="Z28" i="70"/>
  <c r="T23" i="72"/>
  <c r="AA29" i="72" s="1"/>
  <c r="T23" i="70"/>
  <c r="V23" i="70" s="1"/>
  <c r="C27" i="47"/>
  <c r="FW27" i="47" s="1"/>
  <c r="Z29" i="72"/>
  <c r="Z23" i="70"/>
  <c r="Z22" i="70"/>
  <c r="C27" i="28"/>
  <c r="CW27" i="28" s="1"/>
  <c r="E35" i="28"/>
  <c r="GY35" i="28" s="1"/>
  <c r="Z29" i="70"/>
  <c r="T22" i="70"/>
  <c r="V22" i="70" s="1"/>
  <c r="E35" i="47"/>
  <c r="JL35" i="47" s="1"/>
  <c r="E28" i="47"/>
  <c r="BL28" i="47" s="1"/>
  <c r="Z23" i="72"/>
  <c r="P24" i="72"/>
  <c r="C36" i="47" s="1"/>
  <c r="Q27" i="72"/>
  <c r="Z33" i="72" s="1"/>
  <c r="Q22" i="72"/>
  <c r="E34" i="28" s="1"/>
  <c r="IL34" i="28" s="1"/>
  <c r="P22" i="72"/>
  <c r="C34" i="47" s="1"/>
  <c r="C7" i="28"/>
  <c r="LJ7" i="28" s="1"/>
  <c r="C15" i="47"/>
  <c r="IJ15" i="47" s="1"/>
  <c r="P24" i="70"/>
  <c r="C29" i="28" s="1"/>
  <c r="GJ29" i="28" s="1"/>
  <c r="Z29" i="63"/>
  <c r="C21" i="28"/>
  <c r="GJ21" i="28" s="1"/>
  <c r="C21" i="47"/>
  <c r="Z23" i="63"/>
  <c r="E24" i="28"/>
  <c r="IY24" i="28" s="1"/>
  <c r="T23" i="63"/>
  <c r="V23" i="63" s="1"/>
  <c r="P24" i="63"/>
  <c r="Z30" i="63" s="1"/>
  <c r="P25" i="63"/>
  <c r="C23" i="28" s="1"/>
  <c r="IW23" i="28" s="1"/>
  <c r="P26" i="63"/>
  <c r="C24" i="28" s="1"/>
  <c r="HW24" i="28" s="1"/>
  <c r="E16" i="47"/>
  <c r="E16" i="28"/>
  <c r="P26" i="62"/>
  <c r="T26" i="62" s="1"/>
  <c r="AA26" i="62" s="1"/>
  <c r="P25" i="62"/>
  <c r="C16" i="28" s="1"/>
  <c r="IJ16" i="28" s="1"/>
  <c r="P26" i="61"/>
  <c r="T26" i="61" s="1"/>
  <c r="V26" i="61" s="1"/>
  <c r="P24" i="61"/>
  <c r="Q27" i="61"/>
  <c r="E11" i="47" s="1"/>
  <c r="CY11" i="47" s="1"/>
  <c r="K28" i="33"/>
  <c r="D24" i="74" s="1"/>
  <c r="AA38" i="33"/>
  <c r="E56" i="74" s="1"/>
  <c r="E85" i="48"/>
  <c r="AA23" i="33"/>
  <c r="E53" i="74" s="1"/>
  <c r="E55" i="48"/>
  <c r="AF23" i="33"/>
  <c r="D65" i="74" s="1"/>
  <c r="D64" i="48"/>
  <c r="D14" i="68"/>
  <c r="Q5" i="68"/>
  <c r="AG33" i="33"/>
  <c r="E67" i="74" s="1"/>
  <c r="E96" i="48"/>
  <c r="AF13" i="33"/>
  <c r="D63" i="74" s="1"/>
  <c r="D32" i="48"/>
  <c r="P5" i="65"/>
  <c r="C18" i="33"/>
  <c r="E4" i="74" s="1"/>
  <c r="D74" i="48"/>
  <c r="D37" i="48"/>
  <c r="BV70" i="47"/>
  <c r="JV70" i="47"/>
  <c r="AV70" i="47"/>
  <c r="EV70" i="47"/>
  <c r="IV70" i="47"/>
  <c r="P5" i="68"/>
  <c r="I70" i="47"/>
  <c r="KV70" i="47"/>
  <c r="JI70" i="47"/>
  <c r="GV70" i="47"/>
  <c r="CI70" i="47"/>
  <c r="KI70" i="47"/>
  <c r="CV70" i="47"/>
  <c r="LV70" i="47"/>
  <c r="LI70" i="47"/>
  <c r="FI70" i="47"/>
  <c r="DI70" i="47"/>
  <c r="HI70" i="47"/>
  <c r="V70" i="47"/>
  <c r="GI70" i="47"/>
  <c r="HV70" i="47"/>
  <c r="AI70" i="47"/>
  <c r="EI70" i="47"/>
  <c r="FV70" i="47"/>
  <c r="DV70" i="47"/>
  <c r="BI70" i="47"/>
  <c r="JK69" i="28"/>
  <c r="HX69" i="28"/>
  <c r="IX69" i="28"/>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HI70" i="28"/>
  <c r="IV70" i="28"/>
  <c r="IK69" i="47"/>
  <c r="GK69" i="47"/>
  <c r="V70" i="28"/>
  <c r="KI70" i="28"/>
  <c r="AK69" i="47"/>
  <c r="DV70" i="28"/>
  <c r="AI70" i="28"/>
  <c r="GX69" i="47"/>
  <c r="DK69" i="47"/>
  <c r="IX69" i="47"/>
  <c r="CK69" i="47"/>
  <c r="JI70" i="28"/>
  <c r="LV70" i="28"/>
  <c r="AX69" i="47"/>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F13" i="33"/>
  <c r="E9" i="74" s="1"/>
  <c r="E8" i="48"/>
  <c r="E38" i="33"/>
  <c r="D14" i="74" s="1"/>
  <c r="D71" i="48"/>
  <c r="F23" i="33"/>
  <c r="E12" i="74" s="1"/>
  <c r="E38" i="48"/>
  <c r="Q6" i="62"/>
  <c r="D15" i="62"/>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EL73" i="28"/>
  <c r="DY73"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GL38" i="28"/>
  <c r="LL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LW71" i="47"/>
  <c r="JJ71" i="47"/>
  <c r="IJ71" i="47"/>
  <c r="BJ71" i="47"/>
  <c r="W71" i="47"/>
  <c r="IW71" i="47"/>
  <c r="LJ71" i="47"/>
  <c r="FJ71" i="47"/>
  <c r="J71" i="47"/>
  <c r="GW71" i="47"/>
  <c r="CW71" i="47"/>
  <c r="AJ71" i="47"/>
  <c r="CJ71" i="47"/>
  <c r="KJ71" i="47"/>
  <c r="BW71" i="47"/>
  <c r="HJ71" i="47"/>
  <c r="KW71" i="47"/>
  <c r="HW71" i="47"/>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AW31" i="47"/>
  <c r="KW31" i="47"/>
  <c r="DJ31" i="47"/>
  <c r="J31" i="47"/>
  <c r="BW31" i="47"/>
  <c r="HJ31" i="47"/>
  <c r="GJ31" i="47"/>
  <c r="AJ31" i="47"/>
  <c r="FW31" i="47"/>
  <c r="EJ31" i="47"/>
  <c r="JJ31" i="47"/>
  <c r="IJ31" i="47"/>
  <c r="DW31" i="47"/>
  <c r="W31" i="47"/>
  <c r="JW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JW84" i="47"/>
  <c r="I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LJ20" i="28"/>
  <c r="JJ20" i="28"/>
  <c r="HW20" i="28"/>
  <c r="J20" i="28"/>
  <c r="JW20" i="28"/>
  <c r="CW20" i="28"/>
  <c r="BJ20" i="28"/>
  <c r="FJ20" i="28"/>
  <c r="W20" i="28"/>
  <c r="FW20" i="28"/>
  <c r="BW20" i="28"/>
  <c r="HJ20" i="28"/>
  <c r="LW20"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U23"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AL50" i="28"/>
  <c r="HL50"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DW83" i="28"/>
  <c r="EW83" i="28"/>
  <c r="AJ83" i="28"/>
  <c r="AW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FJ25" i="28"/>
  <c r="AW25" i="28"/>
  <c r="LL81" i="47"/>
  <c r="CL81" i="47"/>
  <c r="L81"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EY70" i="28"/>
  <c r="AA25" i="68"/>
  <c r="V25" i="68"/>
  <c r="U25" i="68"/>
  <c r="AA31" i="68"/>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JW74" i="28"/>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W38" i="28"/>
  <c r="FW38" i="28"/>
  <c r="AJ38" i="28"/>
  <c r="DJ38" i="28"/>
  <c r="AA27" i="66"/>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DL20" i="28"/>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V23" i="64" l="1"/>
  <c r="AA22" i="61"/>
  <c r="U22" i="61"/>
  <c r="AA29" i="64"/>
  <c r="AA32" i="65"/>
  <c r="U26" i="65"/>
  <c r="JY58" i="47"/>
  <c r="V26" i="65"/>
  <c r="CJ65" i="47"/>
  <c r="LJ65" i="47"/>
  <c r="AY74" i="47"/>
  <c r="AY81" i="28"/>
  <c r="D9" i="28"/>
  <c r="GJ73" i="28"/>
  <c r="HY81" i="28"/>
  <c r="CL9" i="28"/>
  <c r="JL9" i="28"/>
  <c r="B74" i="28"/>
  <c r="GL23" i="47"/>
  <c r="J74" i="28"/>
  <c r="DW74" i="28"/>
  <c r="CJ74" i="28"/>
  <c r="HW74" i="28"/>
  <c r="JJ74" i="28"/>
  <c r="KW20" i="28"/>
  <c r="EW20" i="28"/>
  <c r="B20" i="28"/>
  <c r="GY23" i="47"/>
  <c r="IW74" i="28"/>
  <c r="KJ74" i="28"/>
  <c r="FY23" i="47"/>
  <c r="AW74" i="28"/>
  <c r="BJ74" i="28"/>
  <c r="LJ74" i="28"/>
  <c r="AJ20" i="28"/>
  <c r="IJ20" i="28"/>
  <c r="AJ74" i="28"/>
  <c r="DJ74" i="28"/>
  <c r="LW74" i="28"/>
  <c r="EW74" i="28"/>
  <c r="EJ74" i="28"/>
  <c r="DJ20" i="28"/>
  <c r="AW20" i="28"/>
  <c r="FW74" i="28"/>
  <c r="KW74" i="28"/>
  <c r="EJ20" i="28"/>
  <c r="CJ20" i="28"/>
  <c r="W74" i="28"/>
  <c r="GJ74" i="28"/>
  <c r="AY23" i="47"/>
  <c r="BW74" i="28"/>
  <c r="GW74" i="28"/>
  <c r="HJ74" i="28"/>
  <c r="GW20" i="28"/>
  <c r="DW20" i="28"/>
  <c r="CY23" i="47"/>
  <c r="FJ74" i="28"/>
  <c r="CW74" i="28"/>
  <c r="KJ20" i="28"/>
  <c r="IW20" i="28"/>
  <c r="CL57" i="28"/>
  <c r="FL23" i="47"/>
  <c r="AA23" i="67"/>
  <c r="IY70" i="28"/>
  <c r="V23" i="67"/>
  <c r="D72" i="47"/>
  <c r="E43" i="47"/>
  <c r="EY43" i="47" s="1"/>
  <c r="LL70" i="28"/>
  <c r="U23" i="67"/>
  <c r="AL72" i="47"/>
  <c r="E43" i="28"/>
  <c r="DL43" i="28" s="1"/>
  <c r="JL72" i="47"/>
  <c r="T24" i="71"/>
  <c r="AA24" i="71" s="1"/>
  <c r="GL70" i="28"/>
  <c r="AA28" i="61"/>
  <c r="CY72" i="47"/>
  <c r="DY32" i="28"/>
  <c r="KW51" i="28"/>
  <c r="Z30" i="71"/>
  <c r="V24" i="67"/>
  <c r="DL72" i="47"/>
  <c r="AY32" i="28"/>
  <c r="U24" i="67"/>
  <c r="HL72" i="47"/>
  <c r="EY32" i="28"/>
  <c r="AA33" i="63"/>
  <c r="AA24" i="67"/>
  <c r="KL72" i="47"/>
  <c r="IL32" i="28"/>
  <c r="GY70" i="28"/>
  <c r="LY72" i="47"/>
  <c r="GY32" i="28"/>
  <c r="K65" i="28"/>
  <c r="FL70" i="28"/>
  <c r="IY32" i="28"/>
  <c r="FX65" i="28"/>
  <c r="CY81" i="28"/>
  <c r="FY81" i="28"/>
  <c r="LY81" i="28"/>
  <c r="EJ65" i="47"/>
  <c r="KJ65" i="47"/>
  <c r="BY9" i="28"/>
  <c r="IY9" i="28"/>
  <c r="IX65" i="28"/>
  <c r="EL74" i="47"/>
  <c r="AL81" i="28"/>
  <c r="GY81" i="28"/>
  <c r="D81" i="28"/>
  <c r="HX81" i="28" s="1"/>
  <c r="AJ65" i="47"/>
  <c r="KW65" i="47"/>
  <c r="EL9" i="28"/>
  <c r="GL9" i="28"/>
  <c r="FL58" i="47"/>
  <c r="DK65" i="28"/>
  <c r="HL74" i="47"/>
  <c r="W65" i="47"/>
  <c r="IJ65" i="47"/>
  <c r="HW65" i="47"/>
  <c r="KL9" i="28"/>
  <c r="FL9" i="28"/>
  <c r="JY9" i="28"/>
  <c r="IW73" i="28"/>
  <c r="KY58" i="47"/>
  <c r="KY74" i="47"/>
  <c r="BY81" i="28"/>
  <c r="JL81" i="28"/>
  <c r="DJ65" i="47"/>
  <c r="CW65" i="47"/>
  <c r="B65" i="47"/>
  <c r="KY9" i="28"/>
  <c r="CY9" i="28"/>
  <c r="LY9" i="28"/>
  <c r="EY58" i="47"/>
  <c r="BX65" i="28"/>
  <c r="FL74" i="47"/>
  <c r="DY81" i="28"/>
  <c r="FL81" i="28"/>
  <c r="AW65" i="47"/>
  <c r="FW65" i="47"/>
  <c r="LW65" i="47"/>
  <c r="LL9" i="28"/>
  <c r="GY9" i="28"/>
  <c r="GL58" i="47"/>
  <c r="DY74" i="47"/>
  <c r="Y81" i="28"/>
  <c r="GL81" i="28"/>
  <c r="J65" i="47"/>
  <c r="JW65" i="47"/>
  <c r="Y9" i="28"/>
  <c r="L9" i="28"/>
  <c r="L58" i="47"/>
  <c r="GK65" i="28"/>
  <c r="EY74" i="47"/>
  <c r="HL81" i="28"/>
  <c r="BJ65" i="47"/>
  <c r="GJ65" i="47"/>
  <c r="AL9" i="28"/>
  <c r="DL9" i="28"/>
  <c r="Y58" i="47"/>
  <c r="HK65" i="28"/>
  <c r="L74" i="47"/>
  <c r="L81" i="28"/>
  <c r="IY81" i="28"/>
  <c r="CL81" i="28"/>
  <c r="DL81" i="28"/>
  <c r="IL81" i="28"/>
  <c r="EW65" i="47"/>
  <c r="GW65" i="47"/>
  <c r="AY9" i="28"/>
  <c r="HL9" i="28"/>
  <c r="BY58" i="47"/>
  <c r="DX65" i="28"/>
  <c r="DL74" i="47"/>
  <c r="EL81" i="28"/>
  <c r="JJ65" i="47"/>
  <c r="HJ65" i="47"/>
  <c r="FY9" i="28"/>
  <c r="IL9" i="28"/>
  <c r="FK65" i="28"/>
  <c r="JY81" i="28"/>
  <c r="KY81" i="28"/>
  <c r="BW65" i="47"/>
  <c r="IW65" i="47"/>
  <c r="BL9" i="28"/>
  <c r="EY9" i="28"/>
  <c r="GX65" i="28"/>
  <c r="LY74" i="47"/>
  <c r="KL81" i="28"/>
  <c r="BL81" i="28"/>
  <c r="EY81" i="28"/>
  <c r="DW65" i="47"/>
  <c r="DY9" i="28"/>
  <c r="JK65" i="28"/>
  <c r="GY74" i="47"/>
  <c r="LW83" i="28"/>
  <c r="CW83" i="28"/>
  <c r="AA33" i="66"/>
  <c r="BW38" i="28"/>
  <c r="HW38" i="28"/>
  <c r="V27" i="66"/>
  <c r="CW38" i="28"/>
  <c r="IW38" i="28"/>
  <c r="KJ83" i="28"/>
  <c r="BW83" i="28"/>
  <c r="KW83" i="28"/>
  <c r="JJ83" i="28"/>
  <c r="JW38" i="28"/>
  <c r="J83" i="28"/>
  <c r="IJ83" i="28"/>
  <c r="B83" i="28"/>
  <c r="HJ83" i="28"/>
  <c r="DW38" i="28"/>
  <c r="EW38" i="28"/>
  <c r="EJ38" i="28"/>
  <c r="FJ38" i="28"/>
  <c r="J25" i="47"/>
  <c r="JW83" i="28"/>
  <c r="GJ83" i="28"/>
  <c r="KW38" i="28"/>
  <c r="LW38" i="28"/>
  <c r="W38" i="28"/>
  <c r="GJ38" i="28"/>
  <c r="B38" i="28"/>
  <c r="DW25" i="47"/>
  <c r="IW83" i="28"/>
  <c r="FJ83" i="28"/>
  <c r="CW53" i="28"/>
  <c r="KJ38" i="28"/>
  <c r="LJ38" i="28"/>
  <c r="J38" i="28"/>
  <c r="AW38" i="28"/>
  <c r="HJ38" i="28"/>
  <c r="GJ25" i="47"/>
  <c r="HW83" i="28"/>
  <c r="EJ83" i="28"/>
  <c r="CJ38" i="28"/>
  <c r="IJ38" i="28"/>
  <c r="LJ25" i="47"/>
  <c r="LJ83" i="28"/>
  <c r="GW83" i="28"/>
  <c r="DJ83" i="28"/>
  <c r="BJ38" i="28"/>
  <c r="LW25" i="47"/>
  <c r="BJ83" i="28"/>
  <c r="FW83" i="28"/>
  <c r="GY30" i="28"/>
  <c r="CX65" i="28"/>
  <c r="HX65" i="28"/>
  <c r="HY74" i="47"/>
  <c r="B31" i="47"/>
  <c r="HW31" i="47"/>
  <c r="EJ71" i="47"/>
  <c r="DJ71" i="47"/>
  <c r="KK65" i="28"/>
  <c r="CL74" i="47"/>
  <c r="DL23" i="47"/>
  <c r="KX65" i="28"/>
  <c r="GL74" i="47"/>
  <c r="FY74" i="47"/>
  <c r="BY23" i="47"/>
  <c r="D58" i="47"/>
  <c r="CW31" i="47"/>
  <c r="GJ71" i="47"/>
  <c r="JW71" i="47"/>
  <c r="EX65" i="28"/>
  <c r="X65" i="28"/>
  <c r="LL74" i="47"/>
  <c r="JY74" i="47"/>
  <c r="DJ6" i="47"/>
  <c r="CK65" i="28"/>
  <c r="BK65" i="28"/>
  <c r="KL74" i="47"/>
  <c r="BL74" i="47"/>
  <c r="KL23" i="47"/>
  <c r="FW71" i="47"/>
  <c r="AW71" i="47"/>
  <c r="IK65" i="28"/>
  <c r="EK65" i="28"/>
  <c r="D74" i="47"/>
  <c r="BY74" i="47"/>
  <c r="Y74" i="47"/>
  <c r="Y23" i="47"/>
  <c r="JX65" i="28"/>
  <c r="LK65" i="28"/>
  <c r="IY74" i="47"/>
  <c r="IL74" i="47"/>
  <c r="AL74" i="47"/>
  <c r="BL23" i="47"/>
  <c r="DY57" i="28"/>
  <c r="DW71" i="47"/>
  <c r="EW71" i="47"/>
  <c r="AX65" i="28"/>
  <c r="AK65" i="28"/>
  <c r="CY74" i="47"/>
  <c r="JY23" i="47"/>
  <c r="HJ84" i="47"/>
  <c r="AA29" i="66"/>
  <c r="KW84" i="47"/>
  <c r="V23" i="66"/>
  <c r="DJ84" i="47"/>
  <c r="AJ84" i="47"/>
  <c r="AL70" i="28"/>
  <c r="HL70" i="28"/>
  <c r="LY70" i="28"/>
  <c r="BL72" i="47"/>
  <c r="EL72" i="47"/>
  <c r="DL32" i="28"/>
  <c r="JL32" i="28"/>
  <c r="LW84" i="47"/>
  <c r="JJ84" i="47"/>
  <c r="IL70" i="28"/>
  <c r="AY70" i="28"/>
  <c r="JY70" i="28"/>
  <c r="L72" i="47"/>
  <c r="GL72" i="47"/>
  <c r="FL32" i="28"/>
  <c r="GL32" i="28"/>
  <c r="GW84" i="47"/>
  <c r="BJ84" i="47"/>
  <c r="HW84" i="47"/>
  <c r="L70" i="28"/>
  <c r="BY70" i="28"/>
  <c r="KY70" i="28"/>
  <c r="DY72" i="47"/>
  <c r="JY72" i="47"/>
  <c r="BY32" i="28"/>
  <c r="HL32" i="28"/>
  <c r="EJ84" i="47"/>
  <c r="AW84" i="47"/>
  <c r="FW84" i="47"/>
  <c r="Y70" i="28"/>
  <c r="CY70" i="28"/>
  <c r="J43" i="28"/>
  <c r="Y72" i="47"/>
  <c r="FL72" i="47"/>
  <c r="AL32" i="28"/>
  <c r="D32" i="28"/>
  <c r="CX32" i="28" s="1"/>
  <c r="FJ84" i="47"/>
  <c r="B84" i="47"/>
  <c r="J84" i="47"/>
  <c r="BL70" i="28"/>
  <c r="DY70" i="28"/>
  <c r="BY72" i="47"/>
  <c r="FY72" i="47"/>
  <c r="EL32" i="28"/>
  <c r="KL32" i="28"/>
  <c r="LJ84" i="47"/>
  <c r="CJ84" i="47"/>
  <c r="GY72" i="47"/>
  <c r="IL72" i="47"/>
  <c r="CL32" i="28"/>
  <c r="CY32" i="28"/>
  <c r="LL32" i="28"/>
  <c r="W84" i="47"/>
  <c r="BW84" i="47"/>
  <c r="AA23" i="66"/>
  <c r="CL70" i="28"/>
  <c r="JL70" i="28"/>
  <c r="DL70" i="28"/>
  <c r="D70" i="28"/>
  <c r="KK70" i="28" s="1"/>
  <c r="LJ65" i="28"/>
  <c r="CL72" i="47"/>
  <c r="HY72" i="47"/>
  <c r="Y32" i="28"/>
  <c r="BL32" i="28"/>
  <c r="LY32" i="28"/>
  <c r="IJ84" i="47"/>
  <c r="DW84" i="47"/>
  <c r="EL70" i="28"/>
  <c r="FY70" i="28"/>
  <c r="AY72" i="47"/>
  <c r="IY72" i="47"/>
  <c r="L32" i="28"/>
  <c r="HY32" i="28"/>
  <c r="KY32" i="28"/>
  <c r="CW84" i="47"/>
  <c r="GJ84" i="47"/>
  <c r="JY20" i="28"/>
  <c r="KL70" i="28"/>
  <c r="LL72" i="47"/>
  <c r="EY72" i="47"/>
  <c r="FY32" i="28"/>
  <c r="KJ84" i="47"/>
  <c r="B35" i="28"/>
  <c r="JV35" i="28" s="1"/>
  <c r="LL73" i="28"/>
  <c r="Z25" i="71"/>
  <c r="EL23" i="47"/>
  <c r="E85" i="47"/>
  <c r="Z30" i="67"/>
  <c r="Z31" i="71"/>
  <c r="BL81" i="47"/>
  <c r="GL81" i="47"/>
  <c r="D81" i="47"/>
  <c r="T25" i="71"/>
  <c r="V25" i="71" s="1"/>
  <c r="FL81" i="47"/>
  <c r="FY81" i="47"/>
  <c r="LY81" i="47"/>
  <c r="AL81" i="47"/>
  <c r="HL81" i="47"/>
  <c r="CJ24" i="28"/>
  <c r="Y81" i="47"/>
  <c r="IL81" i="47"/>
  <c r="IW24" i="28"/>
  <c r="GY81" i="47"/>
  <c r="AY81" i="47"/>
  <c r="BY81" i="47"/>
  <c r="HY81" i="47"/>
  <c r="C31" i="28"/>
  <c r="HW31" i="28" s="1"/>
  <c r="CY81" i="47"/>
  <c r="IY81" i="47"/>
  <c r="JY81" i="47"/>
  <c r="DY81" i="47"/>
  <c r="EL81" i="47"/>
  <c r="JL81" i="47"/>
  <c r="Z32" i="70"/>
  <c r="DL81" i="47"/>
  <c r="KY81" i="47"/>
  <c r="EY81" i="47"/>
  <c r="E85" i="28"/>
  <c r="DY85" i="28" s="1"/>
  <c r="HL30" i="28"/>
  <c r="Z26" i="70"/>
  <c r="FJ37" i="47"/>
  <c r="DJ24" i="28"/>
  <c r="KW24" i="28"/>
  <c r="DJ25" i="28"/>
  <c r="GJ25" i="28"/>
  <c r="FY50" i="28"/>
  <c r="DY50" i="28"/>
  <c r="E44" i="28"/>
  <c r="EJ24" i="28"/>
  <c r="B24" i="28"/>
  <c r="JV24" i="28" s="1"/>
  <c r="BW25" i="28"/>
  <c r="HJ25" i="28"/>
  <c r="IL50" i="28"/>
  <c r="AY50" i="28"/>
  <c r="EW24" i="28"/>
  <c r="FJ24" i="28"/>
  <c r="KJ24" i="28"/>
  <c r="CW25" i="28"/>
  <c r="IJ25" i="28"/>
  <c r="GY50" i="28"/>
  <c r="L50" i="28"/>
  <c r="C72" i="47"/>
  <c r="LJ72" i="47" s="1"/>
  <c r="W24" i="28"/>
  <c r="GJ24" i="28"/>
  <c r="LJ24" i="28"/>
  <c r="DW25" i="28"/>
  <c r="JJ25" i="28"/>
  <c r="IY50" i="28"/>
  <c r="KL50" i="28"/>
  <c r="BL50" i="28"/>
  <c r="T25" i="66"/>
  <c r="AA25" i="66" s="1"/>
  <c r="AW24" i="28"/>
  <c r="HJ24" i="28"/>
  <c r="LW24" i="28"/>
  <c r="EW25" i="28"/>
  <c r="B25" i="28"/>
  <c r="KV25" i="28" s="1"/>
  <c r="LY50" i="28"/>
  <c r="HY50" i="28"/>
  <c r="EL50" i="28"/>
  <c r="CL73" i="28"/>
  <c r="Z23" i="62"/>
  <c r="AJ24" i="28"/>
  <c r="IJ24" i="28"/>
  <c r="AJ25" i="28"/>
  <c r="JW25" i="28"/>
  <c r="JL50" i="28"/>
  <c r="LL50" i="28"/>
  <c r="EY50" i="28"/>
  <c r="FW25" i="28"/>
  <c r="CW24" i="28"/>
  <c r="JJ24" i="28"/>
  <c r="EJ25" i="28"/>
  <c r="GW25" i="28"/>
  <c r="KW25" i="28"/>
  <c r="D50" i="28"/>
  <c r="BY50" i="28"/>
  <c r="J24" i="28"/>
  <c r="JW24" i="28"/>
  <c r="J25" i="28"/>
  <c r="HW25" i="28"/>
  <c r="LW25" i="28"/>
  <c r="FL50" i="28"/>
  <c r="CL50" i="28"/>
  <c r="JJ37" i="47"/>
  <c r="BW24" i="28"/>
  <c r="FW24" i="28"/>
  <c r="CJ25" i="28"/>
  <c r="IW25" i="28"/>
  <c r="JY50" i="28"/>
  <c r="CY50" i="28"/>
  <c r="DW24" i="28"/>
  <c r="GW24" i="28"/>
  <c r="BJ25" i="28"/>
  <c r="KJ25" i="28"/>
  <c r="GL50" i="28"/>
  <c r="DL50" i="28"/>
  <c r="BJ24" i="28"/>
  <c r="W25" i="28"/>
  <c r="KY50" i="28"/>
  <c r="D14" i="28"/>
  <c r="LK14" i="28" s="1"/>
  <c r="T26" i="70"/>
  <c r="V26" i="70" s="1"/>
  <c r="AY14" i="28"/>
  <c r="JY38" i="28"/>
  <c r="IL23" i="47"/>
  <c r="AL23" i="47"/>
  <c r="IY30" i="28"/>
  <c r="DY14" i="28"/>
  <c r="DL38" i="28"/>
  <c r="IY23" i="47"/>
  <c r="EY23" i="47"/>
  <c r="FL30" i="28"/>
  <c r="BL14" i="28"/>
  <c r="E14" i="47"/>
  <c r="KY14" i="47" s="1"/>
  <c r="IY52" i="47"/>
  <c r="GY14" i="28"/>
  <c r="D23" i="47"/>
  <c r="FK23" i="47" s="1"/>
  <c r="HL23" i="47"/>
  <c r="HY23" i="47"/>
  <c r="FY14" i="28"/>
  <c r="CL58" i="47"/>
  <c r="CL23" i="47"/>
  <c r="LY23" i="47"/>
  <c r="KY23" i="47"/>
  <c r="LL14" i="28"/>
  <c r="DY58" i="47"/>
  <c r="L23" i="47"/>
  <c r="DY23" i="47"/>
  <c r="IY58" i="47"/>
  <c r="JL23" i="47"/>
  <c r="KY73" i="28"/>
  <c r="JY73" i="28"/>
  <c r="HL73" i="28"/>
  <c r="Z24" i="67"/>
  <c r="C72" i="28"/>
  <c r="B72" i="28" s="1"/>
  <c r="JV72" i="28" s="1"/>
  <c r="Z31" i="66"/>
  <c r="T22" i="69"/>
  <c r="AA22" i="69" s="1"/>
  <c r="IL27" i="28"/>
  <c r="HL43" i="28"/>
  <c r="E23" i="28"/>
  <c r="GY23" i="28" s="1"/>
  <c r="LW35" i="28"/>
  <c r="AW35" i="28"/>
  <c r="EJ35" i="28"/>
  <c r="BL43" i="28"/>
  <c r="KJ35" i="28"/>
  <c r="EY43" i="28"/>
  <c r="LJ35" i="28"/>
  <c r="EL43" i="28"/>
  <c r="BY35" i="28"/>
  <c r="BY14" i="28"/>
  <c r="FY35" i="28"/>
  <c r="CY14" i="28"/>
  <c r="LY14" i="28"/>
  <c r="JL14" i="28"/>
  <c r="GL14" i="28"/>
  <c r="FY25" i="28"/>
  <c r="JY25" i="28"/>
  <c r="KL58" i="47"/>
  <c r="DL58" i="47"/>
  <c r="GL43" i="28"/>
  <c r="CL43" i="28"/>
  <c r="GJ35" i="28"/>
  <c r="EW35" i="28"/>
  <c r="KW35" i="28"/>
  <c r="EY38" i="28"/>
  <c r="LY38" i="28"/>
  <c r="C34" i="28"/>
  <c r="AW34" i="28" s="1"/>
  <c r="DY35" i="28"/>
  <c r="IY35" i="28"/>
  <c r="AL35" i="28"/>
  <c r="JY35" i="28"/>
  <c r="LY58" i="47"/>
  <c r="EL58" i="47"/>
  <c r="DY43" i="28"/>
  <c r="FY43" i="28"/>
  <c r="BW35" i="28"/>
  <c r="FJ35" i="28"/>
  <c r="FY38" i="28"/>
  <c r="BL38" i="28"/>
  <c r="HY35" i="28"/>
  <c r="BL35" i="28"/>
  <c r="LY35" i="28"/>
  <c r="HL58" i="47"/>
  <c r="FY58" i="47"/>
  <c r="BY43" i="28"/>
  <c r="IY43" i="28"/>
  <c r="DJ35" i="28"/>
  <c r="HW35" i="28"/>
  <c r="DY38" i="28"/>
  <c r="CL38" i="28"/>
  <c r="CL35" i="28"/>
  <c r="D43" i="28"/>
  <c r="GY43" i="28"/>
  <c r="AY43" i="28"/>
  <c r="JJ35" i="28"/>
  <c r="AJ35" i="28"/>
  <c r="IY38" i="28"/>
  <c r="AY38" i="28"/>
  <c r="KL35" i="28"/>
  <c r="DL35" i="28"/>
  <c r="D35" i="28"/>
  <c r="GX35" i="28" s="1"/>
  <c r="JL43" i="28"/>
  <c r="IL43" i="28"/>
  <c r="CY43" i="28"/>
  <c r="DW35" i="28"/>
  <c r="CW35" i="28"/>
  <c r="KL38" i="28"/>
  <c r="L38" i="28"/>
  <c r="KJ27" i="28"/>
  <c r="EL35" i="28"/>
  <c r="KY43" i="28"/>
  <c r="KL43" i="28"/>
  <c r="HY43" i="28"/>
  <c r="FW35" i="28"/>
  <c r="GW35" i="28"/>
  <c r="CY38" i="28"/>
  <c r="FL38" i="28"/>
  <c r="FW27" i="28"/>
  <c r="FL35" i="28"/>
  <c r="IL58" i="47"/>
  <c r="GY58" i="47"/>
  <c r="LL43" i="28"/>
  <c r="AL43" i="28"/>
  <c r="HJ35" i="28"/>
  <c r="IJ35" i="28"/>
  <c r="HL38" i="28"/>
  <c r="AL38" i="28"/>
  <c r="GW27" i="28"/>
  <c r="HL35" i="28"/>
  <c r="JL58" i="47"/>
  <c r="BL58" i="47"/>
  <c r="JY43" i="28"/>
  <c r="FL43" i="28"/>
  <c r="BJ35" i="28"/>
  <c r="J35" i="28"/>
  <c r="D38" i="28"/>
  <c r="K38" i="28" s="1"/>
  <c r="BY38" i="28"/>
  <c r="Y38" i="28"/>
  <c r="IL35" i="28"/>
  <c r="LL58" i="47"/>
  <c r="CY58" i="47"/>
  <c r="LY43" i="28"/>
  <c r="L43" i="28"/>
  <c r="IW35" i="28"/>
  <c r="W35" i="28"/>
  <c r="GY38" i="28"/>
  <c r="KY38" i="28"/>
  <c r="HY38" i="28"/>
  <c r="CY35" i="28"/>
  <c r="Y35" i="28"/>
  <c r="KY35" i="28"/>
  <c r="HY58" i="47"/>
  <c r="AY58" i="47"/>
  <c r="Y43" i="28"/>
  <c r="JW35" i="28"/>
  <c r="EL38" i="28"/>
  <c r="IL38" i="28"/>
  <c r="AY35" i="28"/>
  <c r="GL35" i="28"/>
  <c r="LL35" i="28"/>
  <c r="Y6" i="28"/>
  <c r="CL25" i="28"/>
  <c r="GY25" i="28"/>
  <c r="FL6" i="28"/>
  <c r="AY25" i="28"/>
  <c r="IL25" i="28"/>
  <c r="W39" i="28"/>
  <c r="KY6" i="28"/>
  <c r="LL25" i="28"/>
  <c r="EY25" i="28"/>
  <c r="LY25" i="28"/>
  <c r="E77" i="47"/>
  <c r="GY77" i="47" s="1"/>
  <c r="L35" i="28"/>
  <c r="JL35" i="28"/>
  <c r="FJ39" i="28"/>
  <c r="D25" i="28"/>
  <c r="DL25" i="28"/>
  <c r="IY25" i="28"/>
  <c r="V26" i="66"/>
  <c r="L25" i="28"/>
  <c r="FL25" i="28"/>
  <c r="JL25" i="28"/>
  <c r="AA26" i="66"/>
  <c r="KW49" i="28"/>
  <c r="V27" i="70"/>
  <c r="Y25" i="28"/>
  <c r="BY25" i="28"/>
  <c r="AA32" i="66"/>
  <c r="JW49" i="28"/>
  <c r="Z29" i="68"/>
  <c r="EY35" i="28"/>
  <c r="CY25" i="28"/>
  <c r="GL25" i="28"/>
  <c r="AL25" i="28"/>
  <c r="HL25" i="28"/>
  <c r="EL25" i="28"/>
  <c r="KL25" i="28"/>
  <c r="BL25" i="28"/>
  <c r="KY25" i="28"/>
  <c r="DY25" i="28"/>
  <c r="AJ25" i="47"/>
  <c r="EW25" i="47"/>
  <c r="KJ25" i="47"/>
  <c r="BJ25" i="47"/>
  <c r="FW25" i="47"/>
  <c r="B25" i="47"/>
  <c r="GV25" i="47" s="1"/>
  <c r="CJ25" i="47"/>
  <c r="GW25" i="47"/>
  <c r="W25" i="47"/>
  <c r="HW25" i="47"/>
  <c r="AA31" i="69"/>
  <c r="AW25" i="47"/>
  <c r="IJ25" i="47"/>
  <c r="U25" i="69"/>
  <c r="JJ25" i="47"/>
  <c r="AA25" i="69"/>
  <c r="CW25" i="47"/>
  <c r="KW25" i="47"/>
  <c r="BW25" i="47"/>
  <c r="DJ25" i="47"/>
  <c r="IW25" i="47"/>
  <c r="EJ25" i="47"/>
  <c r="JW25" i="47"/>
  <c r="FJ25" i="47"/>
  <c r="L30" i="28"/>
  <c r="IL30" i="28"/>
  <c r="BY55" i="28"/>
  <c r="FY55" i="28"/>
  <c r="V27" i="68"/>
  <c r="U27" i="68"/>
  <c r="AJ66" i="28"/>
  <c r="EL55" i="28"/>
  <c r="CY55" i="28"/>
  <c r="HW66" i="28"/>
  <c r="D55" i="28"/>
  <c r="BX55" i="28" s="1"/>
  <c r="EY55" i="28"/>
  <c r="KL55" i="28"/>
  <c r="DY55" i="28"/>
  <c r="IL55" i="28"/>
  <c r="LL55" i="28"/>
  <c r="GY55" i="28"/>
  <c r="L55" i="28"/>
  <c r="LY55" i="28"/>
  <c r="IY55" i="28"/>
  <c r="DL55" i="28"/>
  <c r="AY55" i="28"/>
  <c r="GL55" i="28"/>
  <c r="CL55" i="28"/>
  <c r="Y55" i="28"/>
  <c r="FL55" i="28"/>
  <c r="HL55" i="28"/>
  <c r="JY55" i="28"/>
  <c r="HY55" i="28"/>
  <c r="AA27" i="68"/>
  <c r="JL55" i="28"/>
  <c r="KY55" i="28"/>
  <c r="AL55" i="28"/>
  <c r="DL14" i="28"/>
  <c r="Y14" i="28"/>
  <c r="Q27" i="67"/>
  <c r="E88" i="47" s="1"/>
  <c r="AL88" i="47" s="1"/>
  <c r="EL30" i="28"/>
  <c r="BL73" i="28"/>
  <c r="FY30" i="28"/>
  <c r="D30" i="28"/>
  <c r="GK30" i="28" s="1"/>
  <c r="GL30" i="28"/>
  <c r="BY73" i="28"/>
  <c r="EJ43" i="28"/>
  <c r="GL52" i="47"/>
  <c r="JY30" i="28"/>
  <c r="BY30" i="28"/>
  <c r="D71" i="47"/>
  <c r="E77" i="28"/>
  <c r="BL77" i="28" s="1"/>
  <c r="GY73" i="28"/>
  <c r="KL73" i="28"/>
  <c r="Z29" i="69"/>
  <c r="Z29" i="62"/>
  <c r="CW43" i="28"/>
  <c r="JL30" i="28"/>
  <c r="EY30" i="28"/>
  <c r="DL71" i="47"/>
  <c r="GL73" i="28"/>
  <c r="AY73" i="28"/>
  <c r="FW43" i="28"/>
  <c r="KY30" i="28"/>
  <c r="CY30" i="28"/>
  <c r="BL71" i="47"/>
  <c r="D73" i="28"/>
  <c r="JK73" i="28" s="1"/>
  <c r="JL73" i="28"/>
  <c r="T23" i="62"/>
  <c r="AA23" i="62" s="1"/>
  <c r="U26" i="72"/>
  <c r="HJ43" i="28"/>
  <c r="DL30" i="28"/>
  <c r="DY30" i="28"/>
  <c r="C63" i="28"/>
  <c r="LW63" i="28" s="1"/>
  <c r="FL73" i="28"/>
  <c r="LY73" i="28"/>
  <c r="Z23" i="69"/>
  <c r="FL31" i="28"/>
  <c r="DY31" i="28"/>
  <c r="V26" i="72"/>
  <c r="LW65" i="28"/>
  <c r="HW43" i="28"/>
  <c r="AL30" i="28"/>
  <c r="Y30" i="28"/>
  <c r="C63" i="47"/>
  <c r="IL73" i="28"/>
  <c r="Y73" i="28"/>
  <c r="AL73" i="28"/>
  <c r="IL14" i="28"/>
  <c r="AJ65" i="28"/>
  <c r="KJ43" i="28"/>
  <c r="EY31" i="28"/>
  <c r="CL31" i="28"/>
  <c r="EW65" i="28"/>
  <c r="LY30" i="28"/>
  <c r="CL30" i="28"/>
  <c r="L73" i="28"/>
  <c r="DL73" i="28"/>
  <c r="FY73" i="28"/>
  <c r="Z23" i="68"/>
  <c r="JL31" i="28"/>
  <c r="DJ65" i="28"/>
  <c r="LL30" i="28"/>
  <c r="AY30" i="28"/>
  <c r="EY73" i="28"/>
  <c r="CY73" i="28"/>
  <c r="KY31" i="28"/>
  <c r="EJ65" i="28"/>
  <c r="JW65" i="28"/>
  <c r="LL31" i="28"/>
  <c r="KW65" i="28"/>
  <c r="KL30" i="28"/>
  <c r="HY30" i="28"/>
  <c r="HY73" i="28"/>
  <c r="L14" i="28"/>
  <c r="FL14" i="28"/>
  <c r="GY31" i="28"/>
  <c r="HL31" i="28"/>
  <c r="AA26" i="72"/>
  <c r="CJ65" i="28"/>
  <c r="GJ65" i="28"/>
  <c r="DJ43" i="28"/>
  <c r="GJ43" i="28"/>
  <c r="EJ73" i="28"/>
  <c r="KW73" i="28"/>
  <c r="AA27" i="63"/>
  <c r="CY31" i="28"/>
  <c r="IL31" i="28"/>
  <c r="AW65" i="28"/>
  <c r="HJ65" i="28"/>
  <c r="BW43" i="28"/>
  <c r="LJ43" i="28"/>
  <c r="BW73" i="28"/>
  <c r="DJ73" i="28"/>
  <c r="U27" i="63"/>
  <c r="AL31" i="28"/>
  <c r="BL31" i="28"/>
  <c r="KL31" i="28"/>
  <c r="B65" i="28"/>
  <c r="DV65" i="28" s="1"/>
  <c r="BW65" i="28"/>
  <c r="KJ65" i="28"/>
  <c r="BJ43" i="28"/>
  <c r="LW43" i="28"/>
  <c r="CW73" i="28"/>
  <c r="FJ73" i="28"/>
  <c r="W73" i="28"/>
  <c r="GW73" i="28"/>
  <c r="FY31" i="28"/>
  <c r="DL31" i="28"/>
  <c r="LY31" i="28"/>
  <c r="J65" i="28"/>
  <c r="FW65" i="28"/>
  <c r="AW43" i="28"/>
  <c r="DW43" i="28"/>
  <c r="KW43" i="28"/>
  <c r="AJ73" i="28"/>
  <c r="HW73" i="28"/>
  <c r="L31" i="28"/>
  <c r="BJ65" i="28"/>
  <c r="HW65" i="28"/>
  <c r="W43" i="28"/>
  <c r="IJ43" i="28"/>
  <c r="B43" i="28"/>
  <c r="JI43" i="28" s="1"/>
  <c r="LW73" i="28"/>
  <c r="EW73" i="28"/>
  <c r="JW73" i="28"/>
  <c r="CW65" i="28"/>
  <c r="IJ65" i="28"/>
  <c r="AJ43" i="28"/>
  <c r="JW43" i="28"/>
  <c r="B73" i="28"/>
  <c r="FW73" i="28"/>
  <c r="LJ73" i="28"/>
  <c r="FL52" i="28"/>
  <c r="EL31" i="28"/>
  <c r="Y31" i="28"/>
  <c r="AY31" i="28"/>
  <c r="D31" i="28"/>
  <c r="HX31" i="28" s="1"/>
  <c r="W65" i="28"/>
  <c r="IW65" i="28"/>
  <c r="CJ43" i="28"/>
  <c r="GW43" i="28"/>
  <c r="J73" i="28"/>
  <c r="HJ73" i="28"/>
  <c r="KJ73" i="28"/>
  <c r="BY31" i="28"/>
  <c r="JY31" i="28"/>
  <c r="DW65" i="28"/>
  <c r="GW65" i="28"/>
  <c r="EW43" i="28"/>
  <c r="IW43" i="28"/>
  <c r="AW73" i="28"/>
  <c r="IJ73" i="28"/>
  <c r="CJ73" i="28"/>
  <c r="DW73" i="28"/>
  <c r="HY31" i="28"/>
  <c r="IY31" i="28"/>
  <c r="FJ65" i="28"/>
  <c r="FJ43" i="28"/>
  <c r="BJ73" i="28"/>
  <c r="EL48" i="47"/>
  <c r="BL48" i="47"/>
  <c r="Y48" i="47"/>
  <c r="FL48" i="47"/>
  <c r="AY48" i="47"/>
  <c r="HY48" i="47"/>
  <c r="V26" i="64"/>
  <c r="AW51" i="28"/>
  <c r="BW51" i="28"/>
  <c r="CW51" i="28"/>
  <c r="EJ51" i="28"/>
  <c r="IJ51" i="28"/>
  <c r="EJ66" i="28"/>
  <c r="IJ66" i="28"/>
  <c r="AL14" i="28"/>
  <c r="KL14" i="28"/>
  <c r="FW66" i="28"/>
  <c r="IW66" i="28"/>
  <c r="CW66" i="28"/>
  <c r="GW66" i="28"/>
  <c r="BJ66" i="28"/>
  <c r="JJ66" i="28"/>
  <c r="EL14" i="28"/>
  <c r="W66" i="28"/>
  <c r="KJ66" i="28"/>
  <c r="DW66" i="28"/>
  <c r="LJ66" i="28"/>
  <c r="KY14" i="28"/>
  <c r="EY14" i="28"/>
  <c r="LW66" i="28"/>
  <c r="FJ66" i="28"/>
  <c r="IY14" i="28"/>
  <c r="HY14" i="28"/>
  <c r="B66" i="28"/>
  <c r="EW66" i="28"/>
  <c r="BW66" i="28"/>
  <c r="GJ66" i="28"/>
  <c r="HL14" i="28"/>
  <c r="CL14" i="28"/>
  <c r="J66" i="28"/>
  <c r="HJ66" i="28"/>
  <c r="DJ66" i="28"/>
  <c r="JW66" i="28"/>
  <c r="HW27" i="28"/>
  <c r="D52" i="28"/>
  <c r="AX52" i="28" s="1"/>
  <c r="GY52" i="28"/>
  <c r="IY52" i="28"/>
  <c r="HY52" i="28"/>
  <c r="CY52" i="28"/>
  <c r="BY52" i="28"/>
  <c r="DL52" i="28"/>
  <c r="EY52" i="28"/>
  <c r="KL52" i="28"/>
  <c r="KY52" i="28"/>
  <c r="GL52" i="28"/>
  <c r="HL52" i="28"/>
  <c r="P24" i="68"/>
  <c r="Z30" i="68" s="1"/>
  <c r="Q26" i="68"/>
  <c r="AW39" i="28"/>
  <c r="GJ39" i="28"/>
  <c r="CL6" i="28"/>
  <c r="GY6" i="28"/>
  <c r="FJ49" i="28"/>
  <c r="BW49" i="28"/>
  <c r="FL71" i="47"/>
  <c r="DY71" i="47"/>
  <c r="CJ39" i="28"/>
  <c r="HJ39" i="28"/>
  <c r="DY6" i="28"/>
  <c r="KL6" i="28"/>
  <c r="DJ49" i="28"/>
  <c r="IW49" i="28"/>
  <c r="FY71" i="47"/>
  <c r="EL71" i="47"/>
  <c r="DJ39" i="28"/>
  <c r="IJ39" i="28"/>
  <c r="AY6" i="28"/>
  <c r="HY6" i="28"/>
  <c r="FW49" i="28"/>
  <c r="LW49" i="28"/>
  <c r="CL71" i="47"/>
  <c r="IL71" i="47"/>
  <c r="EJ39" i="28"/>
  <c r="JJ39" i="28"/>
  <c r="EY6" i="28"/>
  <c r="LY6" i="28"/>
  <c r="AW49" i="28"/>
  <c r="JJ49" i="28"/>
  <c r="JY71" i="47"/>
  <c r="CY71" i="47"/>
  <c r="BJ39" i="28"/>
  <c r="FW39" i="28"/>
  <c r="LJ39" i="28"/>
  <c r="GL6" i="28"/>
  <c r="IL6" i="28"/>
  <c r="CJ49" i="28"/>
  <c r="EJ49" i="28"/>
  <c r="KJ49" i="28"/>
  <c r="IY71" i="47"/>
  <c r="GL71" i="47"/>
  <c r="BW39" i="28"/>
  <c r="GW39" i="28"/>
  <c r="LW39" i="28"/>
  <c r="DL6" i="28"/>
  <c r="IY6" i="28"/>
  <c r="EW49" i="28"/>
  <c r="HJ49" i="28"/>
  <c r="LJ49" i="28"/>
  <c r="KY71" i="47"/>
  <c r="HL71" i="47"/>
  <c r="CW39" i="28"/>
  <c r="HW39" i="28"/>
  <c r="B39" i="28"/>
  <c r="BY6" i="28"/>
  <c r="JL6" i="28"/>
  <c r="W49" i="28"/>
  <c r="BJ49" i="28"/>
  <c r="B49" i="28"/>
  <c r="CI49" i="28" s="1"/>
  <c r="JL71" i="47"/>
  <c r="LY71" i="47"/>
  <c r="AJ39" i="28"/>
  <c r="IW39" i="28"/>
  <c r="AL6" i="28"/>
  <c r="LL6" i="28"/>
  <c r="GJ49" i="28"/>
  <c r="GW49" i="28"/>
  <c r="KL71" i="47"/>
  <c r="HY71" i="47"/>
  <c r="DW39" i="28"/>
  <c r="JW39" i="28"/>
  <c r="EL6" i="28"/>
  <c r="HL6" i="28"/>
  <c r="AA27" i="70"/>
  <c r="HW49" i="28"/>
  <c r="IJ49" i="28"/>
  <c r="L71" i="47"/>
  <c r="AL71" i="47"/>
  <c r="J39" i="28"/>
  <c r="KJ39" i="28"/>
  <c r="BL6" i="28"/>
  <c r="FY6" i="28"/>
  <c r="JY6" i="28"/>
  <c r="AA33" i="70"/>
  <c r="AJ49" i="28"/>
  <c r="J49" i="28"/>
  <c r="LL71" i="47"/>
  <c r="BY71" i="47"/>
  <c r="EW39" i="28"/>
  <c r="L6" i="28"/>
  <c r="CY6" i="28"/>
  <c r="CW49" i="28"/>
  <c r="Y71" i="47"/>
  <c r="GY71" i="47"/>
  <c r="P22" i="68"/>
  <c r="DW53" i="28"/>
  <c r="U24" i="66"/>
  <c r="KJ37" i="47"/>
  <c r="FY22" i="47"/>
  <c r="DW51" i="28"/>
  <c r="HW51" i="28"/>
  <c r="LY48" i="47"/>
  <c r="DY48" i="47"/>
  <c r="KY48" i="47"/>
  <c r="HY22" i="47"/>
  <c r="EW51" i="28"/>
  <c r="HJ51" i="28"/>
  <c r="GL48" i="47"/>
  <c r="FY48" i="47"/>
  <c r="CL48" i="47"/>
  <c r="CJ37" i="47"/>
  <c r="CY20" i="28"/>
  <c r="DY20" i="28"/>
  <c r="BL20" i="28"/>
  <c r="FJ51" i="28"/>
  <c r="IW51" i="28"/>
  <c r="D48" i="47"/>
  <c r="DK48" i="47" s="1"/>
  <c r="CY48" i="47"/>
  <c r="LL48" i="47"/>
  <c r="FY20" i="28"/>
  <c r="AW37" i="47"/>
  <c r="CW37" i="47"/>
  <c r="EY20" i="28"/>
  <c r="DW37" i="47"/>
  <c r="DJ37" i="47"/>
  <c r="LW51" i="28"/>
  <c r="J51" i="28"/>
  <c r="GW51" i="28"/>
  <c r="KL48" i="47"/>
  <c r="AL48" i="47"/>
  <c r="KY20" i="28"/>
  <c r="KW37" i="47"/>
  <c r="LY20" i="28"/>
  <c r="CL20" i="28"/>
  <c r="LL20" i="28"/>
  <c r="KL20" i="28"/>
  <c r="EL20" i="28"/>
  <c r="FL20" i="28"/>
  <c r="D20" i="28"/>
  <c r="LK20" i="28" s="1"/>
  <c r="EJ37" i="47"/>
  <c r="AW66" i="28"/>
  <c r="CJ66" i="28"/>
  <c r="JJ51" i="28"/>
  <c r="FW51" i="28"/>
  <c r="GJ51" i="28"/>
  <c r="HL48" i="47"/>
  <c r="GY48" i="47"/>
  <c r="HY20" i="28"/>
  <c r="EW37" i="47"/>
  <c r="Y20" i="28"/>
  <c r="GL20" i="28"/>
  <c r="FW37" i="47"/>
  <c r="FW60" i="47"/>
  <c r="KJ51" i="28"/>
  <c r="AJ51" i="28"/>
  <c r="JW51" i="28"/>
  <c r="IL48" i="47"/>
  <c r="BY48" i="47"/>
  <c r="AY20" i="28"/>
  <c r="HL20" i="28"/>
  <c r="IJ37" i="47"/>
  <c r="HJ60" i="47"/>
  <c r="LJ51" i="28"/>
  <c r="BJ51" i="28"/>
  <c r="JY48" i="47"/>
  <c r="EY48" i="47"/>
  <c r="AA26" i="64"/>
  <c r="IY20" i="28"/>
  <c r="L20" i="28"/>
  <c r="HW37" i="47"/>
  <c r="IJ51" i="47"/>
  <c r="B51" i="28"/>
  <c r="II51" i="28" s="1"/>
  <c r="CJ51" i="28"/>
  <c r="IY48" i="47"/>
  <c r="L48" i="47"/>
  <c r="KL43" i="47"/>
  <c r="AA32" i="64"/>
  <c r="AL20" i="28"/>
  <c r="B37" i="47"/>
  <c r="GY20" i="28"/>
  <c r="IL20" i="28"/>
  <c r="BY20" i="28"/>
  <c r="BJ37" i="47"/>
  <c r="JW37" i="47"/>
  <c r="HW51" i="47"/>
  <c r="W51" i="28"/>
  <c r="JL48" i="47"/>
  <c r="Y43" i="47"/>
  <c r="BW37" i="47"/>
  <c r="IW37" i="47"/>
  <c r="L22" i="47"/>
  <c r="D22" i="47"/>
  <c r="FX22" i="47" s="1"/>
  <c r="BJ60" i="47"/>
  <c r="EW60" i="47"/>
  <c r="W51" i="47"/>
  <c r="JJ51" i="47"/>
  <c r="DJ53" i="28"/>
  <c r="FJ53" i="28"/>
  <c r="V24" i="66"/>
  <c r="AL22" i="47"/>
  <c r="HL22" i="47"/>
  <c r="B60" i="47"/>
  <c r="IV60" i="47" s="1"/>
  <c r="DJ60" i="47"/>
  <c r="IJ60" i="47"/>
  <c r="DW51" i="47"/>
  <c r="KW51" i="47"/>
  <c r="W53" i="28"/>
  <c r="GW53" i="28"/>
  <c r="AA24" i="66"/>
  <c r="BL22" i="47"/>
  <c r="IL22" i="47"/>
  <c r="JW60" i="47"/>
  <c r="BW60" i="47"/>
  <c r="HW60" i="47"/>
  <c r="EJ51" i="47"/>
  <c r="KJ51" i="47"/>
  <c r="IW53" i="28"/>
  <c r="HW53" i="28"/>
  <c r="CL22" i="47"/>
  <c r="IY22" i="47"/>
  <c r="KW60" i="47"/>
  <c r="DW60" i="47"/>
  <c r="JJ60" i="47"/>
  <c r="FW51" i="47"/>
  <c r="HJ51" i="47"/>
  <c r="J53" i="28"/>
  <c r="GJ53" i="28"/>
  <c r="DL22" i="47"/>
  <c r="JL22" i="47"/>
  <c r="KJ60" i="47"/>
  <c r="FJ60" i="47"/>
  <c r="B51" i="47"/>
  <c r="KI51" i="47" s="1"/>
  <c r="AJ51" i="47"/>
  <c r="GJ51" i="47"/>
  <c r="AJ53" i="28"/>
  <c r="KW53" i="28"/>
  <c r="EY22" i="47"/>
  <c r="JY22" i="47"/>
  <c r="LJ60" i="47"/>
  <c r="AJ60" i="47"/>
  <c r="LJ51" i="47"/>
  <c r="EW51" i="47"/>
  <c r="GW51" i="47"/>
  <c r="EW53" i="28"/>
  <c r="FW53" i="28"/>
  <c r="AJ37" i="47"/>
  <c r="GJ37" i="47"/>
  <c r="LJ37" i="47"/>
  <c r="CY22" i="47"/>
  <c r="KL22" i="47"/>
  <c r="LW60" i="47"/>
  <c r="CJ60" i="47"/>
  <c r="LW51" i="47"/>
  <c r="FJ51" i="47"/>
  <c r="JW51" i="47"/>
  <c r="AW53" i="28"/>
  <c r="HJ53" i="28"/>
  <c r="J37" i="47"/>
  <c r="HJ37" i="47"/>
  <c r="LW37" i="47"/>
  <c r="AY22" i="47"/>
  <c r="EL22" i="47"/>
  <c r="LL22" i="47"/>
  <c r="J60" i="47"/>
  <c r="EJ60" i="47"/>
  <c r="CW51" i="47"/>
  <c r="AW51" i="47"/>
  <c r="LW53" i="28"/>
  <c r="BJ53" i="28"/>
  <c r="IJ53" i="28"/>
  <c r="Y22" i="47"/>
  <c r="GY22" i="47"/>
  <c r="KY22" i="47"/>
  <c r="W60" i="47"/>
  <c r="GJ60" i="47"/>
  <c r="IW51" i="47"/>
  <c r="BJ51" i="47"/>
  <c r="LJ53" i="28"/>
  <c r="BW53" i="28"/>
  <c r="JW53" i="28"/>
  <c r="BY22" i="47"/>
  <c r="FL22" i="47"/>
  <c r="LY22" i="47"/>
  <c r="AW60" i="47"/>
  <c r="IW60" i="47"/>
  <c r="J51" i="47"/>
  <c r="BW51" i="47"/>
  <c r="KJ53" i="28"/>
  <c r="EJ53" i="28"/>
  <c r="B53" i="28"/>
  <c r="FV53" i="28" s="1"/>
  <c r="H5" i="66"/>
  <c r="W37" i="47"/>
  <c r="DY22" i="47"/>
  <c r="CW60" i="47"/>
  <c r="DJ51" i="47"/>
  <c r="JJ53" i="28"/>
  <c r="BY8" i="28"/>
  <c r="KY8" i="28"/>
  <c r="AJ27" i="28"/>
  <c r="AW27" i="28"/>
  <c r="FY8" i="28"/>
  <c r="GY8" i="28"/>
  <c r="AA25" i="64"/>
  <c r="IW27" i="28"/>
  <c r="KW27" i="28"/>
  <c r="EL8" i="28"/>
  <c r="HY8" i="28"/>
  <c r="V25" i="64"/>
  <c r="JW27" i="28"/>
  <c r="LW27" i="28"/>
  <c r="JJ27" i="28"/>
  <c r="O5" i="66"/>
  <c r="CY8" i="28"/>
  <c r="D8" i="28"/>
  <c r="BK8" i="28" s="1"/>
  <c r="AA31" i="64"/>
  <c r="FJ27" i="28"/>
  <c r="EJ27" i="28"/>
  <c r="J27" i="28"/>
  <c r="L8" i="28"/>
  <c r="FL8" i="28"/>
  <c r="IL8" i="28"/>
  <c r="D36" i="28"/>
  <c r="GX36" i="28" s="1"/>
  <c r="W27" i="28"/>
  <c r="IJ27" i="28"/>
  <c r="CJ27" i="28"/>
  <c r="AL8" i="28"/>
  <c r="BL8" i="28"/>
  <c r="LY8" i="28"/>
  <c r="BW27" i="28"/>
  <c r="HJ27" i="28"/>
  <c r="Y8" i="28"/>
  <c r="DY8" i="28"/>
  <c r="LL8" i="28"/>
  <c r="C69" i="47"/>
  <c r="HW69" i="47" s="1"/>
  <c r="AY8" i="28"/>
  <c r="JL8" i="28"/>
  <c r="BJ27" i="28"/>
  <c r="DW27" i="28"/>
  <c r="CL8" i="28"/>
  <c r="IY8" i="28"/>
  <c r="HY60" i="47"/>
  <c r="GL8" i="28"/>
  <c r="JY8" i="28"/>
  <c r="GL60" i="47"/>
  <c r="GJ27" i="28"/>
  <c r="EW27" i="28"/>
  <c r="M6" i="66"/>
  <c r="EY8" i="28"/>
  <c r="HL8" i="28"/>
  <c r="B27" i="28"/>
  <c r="GI27" i="28" s="1"/>
  <c r="LJ27" i="28"/>
  <c r="U23" i="72"/>
  <c r="DL8" i="28"/>
  <c r="DJ27" i="28"/>
  <c r="O7" i="66"/>
  <c r="N5" i="66"/>
  <c r="N7" i="66"/>
  <c r="N6" i="66"/>
  <c r="M7" i="66"/>
  <c r="H7" i="66"/>
  <c r="H6" i="66"/>
  <c r="O6" i="66"/>
  <c r="M5" i="66"/>
  <c r="Z28" i="66"/>
  <c r="I8" i="66"/>
  <c r="I5" i="66"/>
  <c r="I6" i="66"/>
  <c r="Z22" i="66"/>
  <c r="O8" i="66"/>
  <c r="N8" i="66"/>
  <c r="T22" i="66"/>
  <c r="AA22" i="66" s="1"/>
  <c r="I7" i="66"/>
  <c r="M8" i="66"/>
  <c r="C69" i="28"/>
  <c r="JW69" i="28" s="1"/>
  <c r="H8" i="66"/>
  <c r="L57" i="28"/>
  <c r="DL57" i="28"/>
  <c r="KL10" i="28"/>
  <c r="CY57" i="28"/>
  <c r="FL57" i="28"/>
  <c r="CL10" i="28"/>
  <c r="Y57" i="28"/>
  <c r="HY57" i="28"/>
  <c r="IL10" i="28"/>
  <c r="EY57" i="28"/>
  <c r="KY57" i="28"/>
  <c r="HL57" i="28"/>
  <c r="GY57" i="28"/>
  <c r="D57" i="28"/>
  <c r="LK57" i="28" s="1"/>
  <c r="IL57" i="28"/>
  <c r="JY57" i="28"/>
  <c r="AL57" i="28"/>
  <c r="JL57" i="28"/>
  <c r="FY57" i="28"/>
  <c r="KL57" i="28"/>
  <c r="LL57" i="28"/>
  <c r="LY57" i="28"/>
  <c r="AY57" i="28"/>
  <c r="EL57" i="28"/>
  <c r="BL57" i="28"/>
  <c r="GL57" i="28"/>
  <c r="BY57" i="28"/>
  <c r="Z28" i="69"/>
  <c r="E62" i="28"/>
  <c r="JL62" i="28" s="1"/>
  <c r="EY71" i="47"/>
  <c r="W45" i="47"/>
  <c r="DW45" i="47"/>
  <c r="HJ45" i="47"/>
  <c r="LJ45" i="47"/>
  <c r="BJ45" i="47"/>
  <c r="KJ45" i="47"/>
  <c r="C56" i="47"/>
  <c r="AW56" i="47" s="1"/>
  <c r="E62" i="47"/>
  <c r="HL62" i="47" s="1"/>
  <c r="Z23" i="65"/>
  <c r="W38" i="47"/>
  <c r="KW38" i="47"/>
  <c r="CW38" i="47"/>
  <c r="AW38" i="47"/>
  <c r="FJ38" i="47"/>
  <c r="B38" i="47"/>
  <c r="LV38" i="47" s="1"/>
  <c r="LW38" i="47"/>
  <c r="GW38" i="47"/>
  <c r="BW38" i="47"/>
  <c r="GJ38" i="47"/>
  <c r="DW38" i="47"/>
  <c r="HJ38" i="47"/>
  <c r="HW38" i="47"/>
  <c r="AA28" i="63"/>
  <c r="FW38" i="47"/>
  <c r="AA22" i="63"/>
  <c r="DJ38" i="47"/>
  <c r="IJ38" i="47"/>
  <c r="IW38" i="47"/>
  <c r="J38" i="47"/>
  <c r="JJ38" i="47"/>
  <c r="U22" i="63"/>
  <c r="EW38" i="47"/>
  <c r="AJ38" i="47"/>
  <c r="JW38" i="47"/>
  <c r="BJ38" i="47"/>
  <c r="EJ38" i="47"/>
  <c r="KJ38" i="47"/>
  <c r="CJ38" i="47"/>
  <c r="BW21" i="28"/>
  <c r="CW21" i="28"/>
  <c r="DW21" i="28"/>
  <c r="JW21" i="28"/>
  <c r="KJ11" i="28"/>
  <c r="HW21" i="28"/>
  <c r="GJ11" i="28"/>
  <c r="JJ21" i="28"/>
  <c r="HJ21" i="28"/>
  <c r="LJ21" i="28"/>
  <c r="T23" i="65"/>
  <c r="AA23" i="65" s="1"/>
  <c r="FJ21" i="28"/>
  <c r="BY65" i="47"/>
  <c r="BL65" i="47"/>
  <c r="CL65" i="47"/>
  <c r="GL65" i="47"/>
  <c r="FL65" i="47"/>
  <c r="AY65" i="47"/>
  <c r="KY65" i="47"/>
  <c r="DL65" i="47"/>
  <c r="D65" i="47"/>
  <c r="EY65" i="47"/>
  <c r="AL65" i="47"/>
  <c r="JY65" i="47"/>
  <c r="JL65" i="47"/>
  <c r="LL65" i="47"/>
  <c r="Y65" i="47"/>
  <c r="HL65" i="47"/>
  <c r="EL65" i="47"/>
  <c r="GY65" i="47"/>
  <c r="FY65" i="47"/>
  <c r="L65" i="47"/>
  <c r="IL65" i="47"/>
  <c r="LY65" i="47"/>
  <c r="IY65" i="47"/>
  <c r="DY65" i="47"/>
  <c r="KL65" i="47"/>
  <c r="HY65" i="47"/>
  <c r="CY65" i="47"/>
  <c r="CJ37" i="28"/>
  <c r="JJ37" i="28"/>
  <c r="DJ37" i="28"/>
  <c r="KW37" i="28"/>
  <c r="EW48" i="28"/>
  <c r="J37" i="28"/>
  <c r="EJ37" i="28"/>
  <c r="LJ37" i="28"/>
  <c r="JJ48" i="28"/>
  <c r="LW37" i="28"/>
  <c r="DW37" i="28"/>
  <c r="FW37" i="28"/>
  <c r="EW37" i="28"/>
  <c r="GW37" i="28"/>
  <c r="B37" i="28"/>
  <c r="KV37" i="28" s="1"/>
  <c r="AJ37" i="28"/>
  <c r="HW37" i="28"/>
  <c r="BJ37" i="28"/>
  <c r="IW37" i="28"/>
  <c r="BW37" i="28"/>
  <c r="JW37" i="28"/>
  <c r="FJ37" i="28"/>
  <c r="V24" i="71"/>
  <c r="CW37" i="28"/>
  <c r="W37" i="28"/>
  <c r="GJ37" i="28"/>
  <c r="AW37" i="28"/>
  <c r="HJ37" i="28"/>
  <c r="KJ37" i="28"/>
  <c r="U24" i="71"/>
  <c r="FJ48" i="28"/>
  <c r="KW48" i="28"/>
  <c r="J48" i="28"/>
  <c r="HW48" i="28"/>
  <c r="AJ48" i="28"/>
  <c r="LJ48" i="28"/>
  <c r="BJ48" i="28"/>
  <c r="HJ48" i="28"/>
  <c r="CJ48" i="28"/>
  <c r="IW48" i="28"/>
  <c r="LW48" i="28"/>
  <c r="DJ48" i="28"/>
  <c r="GW48" i="28"/>
  <c r="LL34" i="28"/>
  <c r="W48" i="28"/>
  <c r="EJ48" i="28"/>
  <c r="KJ48" i="28"/>
  <c r="KY34" i="28"/>
  <c r="AW48" i="28"/>
  <c r="FW48" i="28"/>
  <c r="B48" i="28"/>
  <c r="HI48" i="28" s="1"/>
  <c r="KI28" i="47"/>
  <c r="BW48" i="28"/>
  <c r="GJ48" i="28"/>
  <c r="JY11" i="47"/>
  <c r="JV28" i="47"/>
  <c r="AA30" i="71"/>
  <c r="CW48" i="28"/>
  <c r="JW48" i="28"/>
  <c r="L11" i="47"/>
  <c r="DW48" i="28"/>
  <c r="KV28" i="47"/>
  <c r="FV28" i="47"/>
  <c r="T25" i="65"/>
  <c r="U25" i="65" s="1"/>
  <c r="AI28" i="47"/>
  <c r="BI28" i="47"/>
  <c r="Z26" i="69"/>
  <c r="Z32" i="69"/>
  <c r="E66" i="47"/>
  <c r="T26" i="69"/>
  <c r="E66" i="28"/>
  <c r="DI28" i="47"/>
  <c r="DV28" i="47"/>
  <c r="GV28" i="47"/>
  <c r="II28" i="47"/>
  <c r="C67" i="47"/>
  <c r="C67" i="28"/>
  <c r="LI28" i="47"/>
  <c r="AV28" i="47"/>
  <c r="Z31" i="65"/>
  <c r="I28" i="47"/>
  <c r="IV28" i="47"/>
  <c r="DY34" i="28"/>
  <c r="EI28" i="47"/>
  <c r="HI28" i="47"/>
  <c r="Q24" i="69"/>
  <c r="HV28" i="47"/>
  <c r="V28" i="47"/>
  <c r="C58" i="28"/>
  <c r="GW58" i="28" s="1"/>
  <c r="BV28" i="47"/>
  <c r="LV28" i="47"/>
  <c r="EV28" i="47"/>
  <c r="C58" i="47"/>
  <c r="IW58" i="47" s="1"/>
  <c r="Q27" i="69"/>
  <c r="Z27" i="69" s="1"/>
  <c r="C64" i="28"/>
  <c r="C64" i="47"/>
  <c r="GI28" i="47"/>
  <c r="CI28" i="47"/>
  <c r="JI28" i="47"/>
  <c r="CV28" i="47"/>
  <c r="I8" i="64"/>
  <c r="M5" i="64"/>
  <c r="M8" i="64"/>
  <c r="H6" i="64"/>
  <c r="I5" i="64"/>
  <c r="N8" i="64"/>
  <c r="N5" i="64"/>
  <c r="O8" i="64"/>
  <c r="B11" i="28"/>
  <c r="GV11" i="28" s="1"/>
  <c r="EW21" i="28"/>
  <c r="KJ21" i="28"/>
  <c r="B45" i="47"/>
  <c r="KI45" i="47" s="1"/>
  <c r="IJ45" i="47"/>
  <c r="CL27" i="28"/>
  <c r="Z24" i="64"/>
  <c r="O7" i="64"/>
  <c r="M7" i="64"/>
  <c r="AW45" i="47"/>
  <c r="DJ45" i="47"/>
  <c r="LL27" i="28"/>
  <c r="M6" i="64"/>
  <c r="H7" i="64"/>
  <c r="J21" i="28"/>
  <c r="KW21" i="28"/>
  <c r="FJ45" i="47"/>
  <c r="AJ45" i="47"/>
  <c r="EJ45" i="47"/>
  <c r="Y27" i="28"/>
  <c r="I7" i="64"/>
  <c r="N6" i="64"/>
  <c r="AJ21" i="28"/>
  <c r="B21" i="28"/>
  <c r="JV21" i="28" s="1"/>
  <c r="GJ45" i="47"/>
  <c r="JJ45" i="47"/>
  <c r="JW45" i="47"/>
  <c r="BJ21" i="28"/>
  <c r="GW21" i="28"/>
  <c r="KW45" i="47"/>
  <c r="CW45" i="47"/>
  <c r="LW45" i="47"/>
  <c r="E56" i="28"/>
  <c r="KL56" i="28" s="1"/>
  <c r="CJ21" i="28"/>
  <c r="IW21" i="28"/>
  <c r="J45" i="47"/>
  <c r="CJ45" i="47"/>
  <c r="Z29" i="65"/>
  <c r="O5" i="64"/>
  <c r="H5" i="64"/>
  <c r="DJ21" i="28"/>
  <c r="LW21" i="28"/>
  <c r="BW45" i="47"/>
  <c r="EW45" i="47"/>
  <c r="T24" i="64"/>
  <c r="AA30" i="64" s="1"/>
  <c r="O6" i="64"/>
  <c r="W21" i="28"/>
  <c r="EJ21" i="28"/>
  <c r="FW21" i="28"/>
  <c r="GW45" i="47"/>
  <c r="IW45" i="47"/>
  <c r="C50" i="28"/>
  <c r="BJ50" i="28" s="1"/>
  <c r="H8" i="64"/>
  <c r="J8" i="64" s="1"/>
  <c r="I6" i="64"/>
  <c r="AW21" i="28"/>
  <c r="IJ21" i="28"/>
  <c r="HW45" i="47"/>
  <c r="C50" i="47"/>
  <c r="KJ50" i="47" s="1"/>
  <c r="N7" i="64"/>
  <c r="JL60" i="47"/>
  <c r="GY60" i="47"/>
  <c r="Y60" i="47"/>
  <c r="KL60" i="47"/>
  <c r="D60" i="47"/>
  <c r="LK60" i="47" s="1"/>
  <c r="DY60" i="47"/>
  <c r="IL60" i="47"/>
  <c r="LL60" i="47"/>
  <c r="EL60" i="47"/>
  <c r="IY60" i="47"/>
  <c r="LY60" i="47"/>
  <c r="FY60" i="47"/>
  <c r="KY60" i="47"/>
  <c r="BY60" i="47"/>
  <c r="AL60" i="47"/>
  <c r="I7" i="65"/>
  <c r="CL60" i="47"/>
  <c r="EY60" i="47"/>
  <c r="CY60" i="47"/>
  <c r="FL60" i="47"/>
  <c r="JY60" i="47"/>
  <c r="AY60" i="47"/>
  <c r="L60" i="47"/>
  <c r="BL60" i="47"/>
  <c r="I5" i="65"/>
  <c r="DL60" i="47"/>
  <c r="N8" i="65"/>
  <c r="M7" i="65"/>
  <c r="H5" i="65"/>
  <c r="JL52" i="28"/>
  <c r="BL52" i="28"/>
  <c r="HJ44" i="47"/>
  <c r="H7" i="65"/>
  <c r="FY52" i="28"/>
  <c r="EL52" i="28"/>
  <c r="BW44" i="47"/>
  <c r="H6" i="65"/>
  <c r="LL52" i="28"/>
  <c r="AY52" i="28"/>
  <c r="DY52" i="28"/>
  <c r="L52" i="28"/>
  <c r="I8" i="65"/>
  <c r="O7" i="65"/>
  <c r="IL52" i="28"/>
  <c r="AL52" i="28"/>
  <c r="N5" i="65"/>
  <c r="M5" i="65"/>
  <c r="JY52" i="28"/>
  <c r="Y52" i="28"/>
  <c r="I6" i="65"/>
  <c r="H8" i="65"/>
  <c r="LY52" i="28"/>
  <c r="U25" i="72"/>
  <c r="Z33" i="65"/>
  <c r="T22" i="64"/>
  <c r="V22" i="64" s="1"/>
  <c r="AA25" i="72"/>
  <c r="AA31" i="72"/>
  <c r="T23" i="71"/>
  <c r="AA29" i="71" s="1"/>
  <c r="Z27" i="65"/>
  <c r="T27" i="65"/>
  <c r="V27" i="65" s="1"/>
  <c r="T22" i="65"/>
  <c r="O8" i="65"/>
  <c r="M8" i="65"/>
  <c r="K8" i="65" s="1"/>
  <c r="O5" i="65"/>
  <c r="E60" i="28"/>
  <c r="FY60" i="28" s="1"/>
  <c r="N6" i="65"/>
  <c r="C55" i="47"/>
  <c r="M6" i="65"/>
  <c r="O6" i="65"/>
  <c r="N7" i="65"/>
  <c r="C60" i="28"/>
  <c r="LW60" i="28" s="1"/>
  <c r="EL43" i="47"/>
  <c r="FL43" i="47"/>
  <c r="JL52" i="47"/>
  <c r="LY52" i="47"/>
  <c r="CJ44" i="47"/>
  <c r="DW44" i="47"/>
  <c r="HL43" i="47"/>
  <c r="BL43" i="47"/>
  <c r="CY43" i="47"/>
  <c r="LL52" i="47"/>
  <c r="AL52" i="47"/>
  <c r="DJ44" i="47"/>
  <c r="KJ44" i="47"/>
  <c r="AL43" i="47"/>
  <c r="DL43" i="47"/>
  <c r="L43" i="47"/>
  <c r="Y52" i="47"/>
  <c r="JY52" i="47"/>
  <c r="LJ44" i="47"/>
  <c r="KW44" i="47"/>
  <c r="C42" i="28"/>
  <c r="J42" i="28" s="1"/>
  <c r="IY43" i="47"/>
  <c r="D43" i="47"/>
  <c r="IX43" i="47" s="1"/>
  <c r="GL43" i="47"/>
  <c r="FL52" i="47"/>
  <c r="EL52" i="47"/>
  <c r="HW44" i="47"/>
  <c r="GJ44" i="47"/>
  <c r="C42" i="47"/>
  <c r="FJ42" i="47" s="1"/>
  <c r="C57" i="47"/>
  <c r="C57" i="28"/>
  <c r="Z30" i="65"/>
  <c r="Z24" i="65"/>
  <c r="T24" i="65"/>
  <c r="DL29" i="28"/>
  <c r="FY43" i="47"/>
  <c r="IL43" i="47"/>
  <c r="KY52" i="47"/>
  <c r="GY52" i="47"/>
  <c r="EJ44" i="47"/>
  <c r="CW44" i="47"/>
  <c r="FY29" i="28"/>
  <c r="LL43" i="47"/>
  <c r="BY43" i="47"/>
  <c r="BY52" i="47"/>
  <c r="HL52" i="47"/>
  <c r="IW44" i="47"/>
  <c r="J44" i="47"/>
  <c r="W44" i="47"/>
  <c r="E48" i="28"/>
  <c r="GY48" i="28" s="1"/>
  <c r="C55" i="28"/>
  <c r="DY43" i="47"/>
  <c r="GY43" i="47"/>
  <c r="KL52" i="47"/>
  <c r="IL52" i="47"/>
  <c r="JW44" i="47"/>
  <c r="LW44" i="47"/>
  <c r="BJ44" i="47"/>
  <c r="JY43" i="47"/>
  <c r="LY43" i="47"/>
  <c r="CL52" i="47"/>
  <c r="L52" i="47"/>
  <c r="FW44" i="47"/>
  <c r="GW44" i="47"/>
  <c r="JJ44" i="47"/>
  <c r="Z28" i="65"/>
  <c r="HY43" i="47"/>
  <c r="JL43" i="47"/>
  <c r="D52" i="47"/>
  <c r="FK52" i="47" s="1"/>
  <c r="CY52" i="47"/>
  <c r="AY52" i="47"/>
  <c r="AW44" i="47"/>
  <c r="AJ44" i="47"/>
  <c r="AY43" i="47"/>
  <c r="CL43" i="47"/>
  <c r="BL52" i="47"/>
  <c r="DL52" i="47"/>
  <c r="FY52" i="47"/>
  <c r="EW44" i="47"/>
  <c r="FJ44" i="47"/>
  <c r="KY43" i="47"/>
  <c r="DY52" i="47"/>
  <c r="EY52" i="47"/>
  <c r="IJ44" i="47"/>
  <c r="Z29" i="71"/>
  <c r="D25" i="47"/>
  <c r="EK25" i="47" s="1"/>
  <c r="DY25" i="47"/>
  <c r="EL46" i="47"/>
  <c r="IL25" i="47"/>
  <c r="AJ32" i="28"/>
  <c r="FW32" i="28"/>
  <c r="B32" i="28"/>
  <c r="LI32" i="28" s="1"/>
  <c r="Z22" i="64"/>
  <c r="LL24" i="28"/>
  <c r="BY24" i="28"/>
  <c r="D24" i="28"/>
  <c r="JX24" i="28" s="1"/>
  <c r="DJ32" i="28"/>
  <c r="CJ32" i="28"/>
  <c r="LW32" i="28"/>
  <c r="W32" i="28"/>
  <c r="HW32" i="28"/>
  <c r="KW32" i="28"/>
  <c r="HW53" i="47"/>
  <c r="J32" i="28"/>
  <c r="JW32" i="28"/>
  <c r="LW53" i="47"/>
  <c r="AW32" i="28"/>
  <c r="GW32" i="28"/>
  <c r="BW53" i="47"/>
  <c r="EW32" i="28"/>
  <c r="IJ32" i="28"/>
  <c r="CJ53" i="47"/>
  <c r="FJ32" i="28"/>
  <c r="IW32" i="28"/>
  <c r="BW32" i="28"/>
  <c r="JJ32" i="28"/>
  <c r="EJ32" i="28"/>
  <c r="KJ32" i="28"/>
  <c r="CW32" i="28"/>
  <c r="GJ32" i="28"/>
  <c r="BJ32" i="28"/>
  <c r="HJ32" i="28"/>
  <c r="DW32" i="28"/>
  <c r="LW6" i="28"/>
  <c r="AA23" i="72"/>
  <c r="L17" i="28"/>
  <c r="DL17" i="28"/>
  <c r="IY17" i="28"/>
  <c r="IK41" i="47"/>
  <c r="AK41" i="47"/>
  <c r="JK41" i="47"/>
  <c r="Y17" i="28"/>
  <c r="EL17" i="28"/>
  <c r="LY17" i="28"/>
  <c r="KX41" i="47"/>
  <c r="K41" i="47"/>
  <c r="EX41" i="47"/>
  <c r="AY17" i="28"/>
  <c r="GL17" i="28"/>
  <c r="BY17" i="28"/>
  <c r="KY17" i="28"/>
  <c r="U27" i="64"/>
  <c r="HX41" i="47"/>
  <c r="CY17" i="28"/>
  <c r="IL17" i="28"/>
  <c r="AA27" i="64"/>
  <c r="KK41" i="47"/>
  <c r="DY17" i="28"/>
  <c r="LL17" i="28"/>
  <c r="AA33" i="64"/>
  <c r="LX41" i="47"/>
  <c r="DK41" i="47"/>
  <c r="GY17" i="28"/>
  <c r="EY17" i="28"/>
  <c r="JY17" i="28"/>
  <c r="BK41" i="47"/>
  <c r="JX41" i="47"/>
  <c r="FK41" i="47"/>
  <c r="X41" i="47"/>
  <c r="D17" i="28"/>
  <c r="EX17" i="28" s="1"/>
  <c r="CL36" i="28"/>
  <c r="FY17" i="28"/>
  <c r="HY17" i="28"/>
  <c r="AX41" i="47"/>
  <c r="CX41" i="47"/>
  <c r="EK41" i="47"/>
  <c r="HK41" i="47"/>
  <c r="CL17" i="28"/>
  <c r="DY36" i="28"/>
  <c r="FL17" i="28"/>
  <c r="JL17" i="28"/>
  <c r="GK41" i="47"/>
  <c r="IX41" i="47"/>
  <c r="HY36" i="28"/>
  <c r="AL17" i="28"/>
  <c r="KL17" i="28"/>
  <c r="DX41" i="47"/>
  <c r="GX41" i="47"/>
  <c r="FX41" i="47"/>
  <c r="IL36" i="28"/>
  <c r="BL17" i="28"/>
  <c r="BX41" i="47"/>
  <c r="CK41" i="47"/>
  <c r="KJ53" i="47"/>
  <c r="EW53" i="47"/>
  <c r="KJ6" i="28"/>
  <c r="HJ53" i="47"/>
  <c r="CW53" i="47"/>
  <c r="CW6" i="28"/>
  <c r="GJ53" i="47"/>
  <c r="J53" i="47"/>
  <c r="KJ14" i="28"/>
  <c r="DJ6" i="28"/>
  <c r="BL35" i="47"/>
  <c r="CW29" i="28"/>
  <c r="GW53" i="47"/>
  <c r="DJ53" i="47"/>
  <c r="BW14" i="28"/>
  <c r="JW6" i="28"/>
  <c r="Y21" i="28"/>
  <c r="HJ29" i="28"/>
  <c r="LJ16" i="28"/>
  <c r="JW53" i="47"/>
  <c r="W53" i="47"/>
  <c r="EJ14" i="28"/>
  <c r="IL35" i="47"/>
  <c r="CW16" i="28"/>
  <c r="IJ53" i="47"/>
  <c r="DW53" i="47"/>
  <c r="GJ14" i="28"/>
  <c r="GJ15" i="47"/>
  <c r="GY35" i="47"/>
  <c r="LY21" i="28"/>
  <c r="FL21" i="28"/>
  <c r="KW16" i="28"/>
  <c r="B53" i="47"/>
  <c r="EI53" i="47" s="1"/>
  <c r="EJ53" i="47"/>
  <c r="JJ14" i="28"/>
  <c r="L28" i="47"/>
  <c r="W15" i="47"/>
  <c r="KW53" i="47"/>
  <c r="IW53" i="47"/>
  <c r="AJ53" i="47"/>
  <c r="IL28" i="47"/>
  <c r="IW15" i="47"/>
  <c r="JJ53" i="47"/>
  <c r="BJ53" i="47"/>
  <c r="FJ53" i="47"/>
  <c r="LJ15" i="47"/>
  <c r="CL35" i="47"/>
  <c r="EY21" i="28"/>
  <c r="LJ53" i="47"/>
  <c r="AW53" i="47"/>
  <c r="KW6" i="47"/>
  <c r="DW16" i="28"/>
  <c r="GL21" i="28"/>
  <c r="FJ16" i="28"/>
  <c r="EW16" i="28"/>
  <c r="AA31" i="71"/>
  <c r="B14" i="28"/>
  <c r="GV14" i="28" s="1"/>
  <c r="J14" i="28"/>
  <c r="HJ14" i="28"/>
  <c r="AY28" i="47"/>
  <c r="EL28" i="47"/>
  <c r="LJ6" i="47"/>
  <c r="AJ6" i="47"/>
  <c r="KW6" i="28"/>
  <c r="DW6" i="28"/>
  <c r="DW15" i="47"/>
  <c r="BJ15" i="47"/>
  <c r="B16" i="28"/>
  <c r="FV16" i="28" s="1"/>
  <c r="AY21" i="28"/>
  <c r="DY35" i="47"/>
  <c r="CL21" i="28"/>
  <c r="HL21" i="28"/>
  <c r="BJ29" i="28"/>
  <c r="KW29" i="28"/>
  <c r="AJ16" i="28"/>
  <c r="FW16" i="28"/>
  <c r="AA25" i="71"/>
  <c r="LJ14" i="28"/>
  <c r="CJ14" i="28"/>
  <c r="IJ14" i="28"/>
  <c r="LY28" i="47"/>
  <c r="EY28" i="47"/>
  <c r="FY28" i="47"/>
  <c r="IW6" i="47"/>
  <c r="DW6" i="47"/>
  <c r="EW6" i="28"/>
  <c r="FW6" i="28"/>
  <c r="DJ15" i="47"/>
  <c r="EW15" i="47"/>
  <c r="KW15" i="47"/>
  <c r="Z23" i="71"/>
  <c r="LW16" i="28"/>
  <c r="JJ29" i="28"/>
  <c r="IY35" i="47"/>
  <c r="DL21" i="28"/>
  <c r="IL21" i="28"/>
  <c r="CJ29" i="28"/>
  <c r="LW29" i="28"/>
  <c r="AA29" i="63"/>
  <c r="BJ16" i="28"/>
  <c r="HW16" i="28"/>
  <c r="U25" i="71"/>
  <c r="KW14" i="28"/>
  <c r="CW14" i="28"/>
  <c r="LL28" i="47"/>
  <c r="GY28" i="47"/>
  <c r="KL28" i="47"/>
  <c r="IJ6" i="47"/>
  <c r="AW6" i="47"/>
  <c r="W6" i="28"/>
  <c r="IJ6" i="28"/>
  <c r="FW15" i="47"/>
  <c r="AJ15" i="47"/>
  <c r="JW15" i="47"/>
  <c r="CY28" i="47"/>
  <c r="EW29" i="28"/>
  <c r="EY35" i="47"/>
  <c r="EL21" i="28"/>
  <c r="JL21" i="28"/>
  <c r="GW29" i="28"/>
  <c r="DJ29" i="28"/>
  <c r="KJ29" i="28"/>
  <c r="AA23" i="63"/>
  <c r="CJ16" i="28"/>
  <c r="JJ16" i="28"/>
  <c r="LW14" i="28"/>
  <c r="HW14" i="28"/>
  <c r="JY28" i="47"/>
  <c r="IY28" i="47"/>
  <c r="JL28" i="47"/>
  <c r="CJ6" i="47"/>
  <c r="EJ6" i="47"/>
  <c r="AJ6" i="28"/>
  <c r="HJ6" i="28"/>
  <c r="JJ15" i="47"/>
  <c r="CJ15" i="47"/>
  <c r="B15" i="47"/>
  <c r="EI15" i="47" s="1"/>
  <c r="FY35" i="47"/>
  <c r="KL35" i="47"/>
  <c r="EJ29" i="28"/>
  <c r="LJ29" i="28"/>
  <c r="U23" i="63"/>
  <c r="DJ16" i="28"/>
  <c r="JW16" i="28"/>
  <c r="W14" i="28"/>
  <c r="DJ14" i="28"/>
  <c r="D28" i="47"/>
  <c r="K28" i="47" s="1"/>
  <c r="CL28" i="47"/>
  <c r="GW6" i="47"/>
  <c r="GJ6" i="47"/>
  <c r="GW6" i="28"/>
  <c r="GJ6" i="28"/>
  <c r="LW15" i="47"/>
  <c r="GW15" i="47"/>
  <c r="HY35" i="47"/>
  <c r="DL35" i="47"/>
  <c r="KY35" i="47"/>
  <c r="AY35" i="47"/>
  <c r="EL35" i="47"/>
  <c r="D35" i="47"/>
  <c r="HX35" i="47" s="1"/>
  <c r="BY21" i="28"/>
  <c r="JY21" i="28"/>
  <c r="KY21" i="28"/>
  <c r="W29" i="28"/>
  <c r="BY35" i="47"/>
  <c r="FL35" i="47"/>
  <c r="LL35" i="47"/>
  <c r="L21" i="28"/>
  <c r="KL21" i="28"/>
  <c r="D21" i="28"/>
  <c r="LK21" i="28" s="1"/>
  <c r="AW29" i="28"/>
  <c r="FW29" i="28"/>
  <c r="B29" i="28"/>
  <c r="LI29" i="28" s="1"/>
  <c r="EJ16" i="28"/>
  <c r="HJ16" i="28"/>
  <c r="AJ14" i="28"/>
  <c r="FW14" i="28"/>
  <c r="BY28" i="47"/>
  <c r="FL28" i="47"/>
  <c r="JW6" i="47"/>
  <c r="J6" i="47"/>
  <c r="BJ6" i="47"/>
  <c r="AW6" i="28"/>
  <c r="FJ6" i="28"/>
  <c r="J15" i="47"/>
  <c r="EJ15" i="47"/>
  <c r="IJ29" i="28"/>
  <c r="LW6" i="47"/>
  <c r="Y35" i="47"/>
  <c r="GL35" i="47"/>
  <c r="LY35" i="47"/>
  <c r="CY21" i="28"/>
  <c r="FY21" i="28"/>
  <c r="LL21" i="28"/>
  <c r="J29" i="28"/>
  <c r="FJ29" i="28"/>
  <c r="J16" i="28"/>
  <c r="GW16" i="28"/>
  <c r="JW14" i="28"/>
  <c r="EW14" i="28"/>
  <c r="HL28" i="47"/>
  <c r="KY28" i="47"/>
  <c r="B6" i="47"/>
  <c r="I6" i="47" s="1"/>
  <c r="CW6" i="47"/>
  <c r="BW6" i="47"/>
  <c r="BJ6" i="28"/>
  <c r="HW6" i="28"/>
  <c r="KJ15" i="47"/>
  <c r="FJ15" i="47"/>
  <c r="GY21" i="28"/>
  <c r="HW29" i="28"/>
  <c r="IW29" i="28"/>
  <c r="W16" i="28"/>
  <c r="IW16" i="28"/>
  <c r="AW14" i="28"/>
  <c r="FJ14" i="28"/>
  <c r="AL28" i="47"/>
  <c r="Y28" i="47"/>
  <c r="JJ6" i="47"/>
  <c r="EW6" i="47"/>
  <c r="HJ6" i="47"/>
  <c r="BW6" i="28"/>
  <c r="IW6" i="28"/>
  <c r="HW15" i="47"/>
  <c r="HJ15" i="47"/>
  <c r="HW6" i="47"/>
  <c r="DY21" i="28"/>
  <c r="L35" i="47"/>
  <c r="HL35" i="47"/>
  <c r="AL21" i="28"/>
  <c r="HY21" i="28"/>
  <c r="AJ29" i="28"/>
  <c r="JW29" i="28"/>
  <c r="AW16" i="28"/>
  <c r="GJ16" i="28"/>
  <c r="BJ14" i="28"/>
  <c r="GW14" i="28"/>
  <c r="GL28" i="47"/>
  <c r="DY28" i="47"/>
  <c r="KJ6" i="47"/>
  <c r="FW6" i="47"/>
  <c r="LJ6" i="28"/>
  <c r="CJ6" i="28"/>
  <c r="JJ6" i="28"/>
  <c r="AW15" i="47"/>
  <c r="CW15" i="47"/>
  <c r="DW29" i="28"/>
  <c r="DL28" i="47"/>
  <c r="CY35" i="47"/>
  <c r="JY35" i="47"/>
  <c r="AL35" i="47"/>
  <c r="BL21" i="28"/>
  <c r="BW29" i="28"/>
  <c r="KJ16" i="28"/>
  <c r="BW16" i="28"/>
  <c r="DW14" i="28"/>
  <c r="HY28" i="47"/>
  <c r="FJ6" i="47"/>
  <c r="B6" i="28"/>
  <c r="JV6" i="28" s="1"/>
  <c r="J6" i="28"/>
  <c r="BW15" i="47"/>
  <c r="DL46" i="47"/>
  <c r="AW7" i="28"/>
  <c r="GJ7" i="28"/>
  <c r="Z28" i="64"/>
  <c r="FY27" i="28"/>
  <c r="L27" i="28"/>
  <c r="KL27" i="28"/>
  <c r="GL27" i="28"/>
  <c r="FW13" i="28"/>
  <c r="E39" i="28"/>
  <c r="D39" i="28" s="1"/>
  <c r="CY27" i="28"/>
  <c r="BL27" i="28"/>
  <c r="FL27" i="28"/>
  <c r="EW13" i="28"/>
  <c r="E39" i="47"/>
  <c r="D39" i="47" s="1"/>
  <c r="HL27" i="28"/>
  <c r="HY27" i="28"/>
  <c r="LY27" i="28"/>
  <c r="CJ13" i="28"/>
  <c r="GY27" i="28"/>
  <c r="DL27" i="28"/>
  <c r="D27" i="28"/>
  <c r="LX27" i="28" s="1"/>
  <c r="JJ13" i="28"/>
  <c r="GW52" i="28"/>
  <c r="CJ52" i="28"/>
  <c r="LW52" i="28"/>
  <c r="BW52" i="28"/>
  <c r="HJ52" i="28"/>
  <c r="AJ52" i="28"/>
  <c r="FW52" i="28"/>
  <c r="DW52" i="28"/>
  <c r="EJ52" i="28"/>
  <c r="GJ52" i="28"/>
  <c r="DJ52" i="28"/>
  <c r="EW52" i="28"/>
  <c r="KJ52" i="28"/>
  <c r="BJ52" i="28"/>
  <c r="B52" i="28"/>
  <c r="IJ52" i="28"/>
  <c r="W52" i="28"/>
  <c r="KW52" i="28"/>
  <c r="AW52" i="28"/>
  <c r="JJ52" i="28"/>
  <c r="HW52" i="28"/>
  <c r="JW52" i="28"/>
  <c r="FJ52" i="28"/>
  <c r="CW52" i="28"/>
  <c r="LJ52" i="28"/>
  <c r="J52" i="28"/>
  <c r="IW52" i="28"/>
  <c r="AL27" i="28"/>
  <c r="EY27" i="28"/>
  <c r="JJ52" i="47"/>
  <c r="FJ52" i="47"/>
  <c r="LJ52" i="47"/>
  <c r="LW52" i="47"/>
  <c r="CJ52" i="47"/>
  <c r="GJ52" i="47"/>
  <c r="BJ52" i="47"/>
  <c r="GW52" i="47"/>
  <c r="B52" i="47"/>
  <c r="JW52" i="47"/>
  <c r="J52" i="47"/>
  <c r="EW52" i="47"/>
  <c r="W52" i="47"/>
  <c r="HJ52" i="47"/>
  <c r="CW52" i="47"/>
  <c r="DJ52" i="47"/>
  <c r="FW52" i="47"/>
  <c r="AW52" i="47"/>
  <c r="BW52" i="47"/>
  <c r="DW52" i="47"/>
  <c r="KW52" i="47"/>
  <c r="AJ52" i="47"/>
  <c r="KJ52" i="47"/>
  <c r="EJ52" i="47"/>
  <c r="IJ52" i="47"/>
  <c r="IW52" i="47"/>
  <c r="HW52" i="47"/>
  <c r="IY27" i="28"/>
  <c r="JL27" i="28"/>
  <c r="Z26" i="62"/>
  <c r="AY27" i="28"/>
  <c r="EL27" i="28"/>
  <c r="BY27" i="28"/>
  <c r="JY27" i="28"/>
  <c r="KY27" i="28"/>
  <c r="BL24" i="28"/>
  <c r="LY24" i="28"/>
  <c r="KY25" i="47"/>
  <c r="FY25" i="47"/>
  <c r="JL25" i="47"/>
  <c r="EY46" i="47"/>
  <c r="FY46" i="47"/>
  <c r="KJ7" i="28"/>
  <c r="J7" i="28"/>
  <c r="Y24" i="28"/>
  <c r="FL24" i="28"/>
  <c r="KL25" i="47"/>
  <c r="GL25" i="47"/>
  <c r="JY25" i="47"/>
  <c r="GY46" i="47"/>
  <c r="HY46" i="47"/>
  <c r="AJ7" i="28"/>
  <c r="EJ7" i="28"/>
  <c r="AY24" i="28"/>
  <c r="GL24" i="28"/>
  <c r="LL25" i="47"/>
  <c r="CL25" i="47"/>
  <c r="LL46" i="47"/>
  <c r="Y46" i="47"/>
  <c r="JY46" i="47"/>
  <c r="CJ7" i="28"/>
  <c r="LW7" i="28"/>
  <c r="DL24" i="28"/>
  <c r="HL24" i="28"/>
  <c r="LY25" i="47"/>
  <c r="AY25" i="47"/>
  <c r="IY46" i="47"/>
  <c r="DY46" i="47"/>
  <c r="KY46" i="47"/>
  <c r="BJ7" i="28"/>
  <c r="IW7" i="28"/>
  <c r="Y25" i="47"/>
  <c r="CY25" i="47"/>
  <c r="KL46" i="47"/>
  <c r="FL46" i="47"/>
  <c r="LY46" i="47"/>
  <c r="AA28" i="70"/>
  <c r="B7" i="28"/>
  <c r="I7" i="28" s="1"/>
  <c r="JW7" i="28"/>
  <c r="C17" i="28"/>
  <c r="J17" i="28" s="1"/>
  <c r="Z32" i="62"/>
  <c r="IL24" i="28"/>
  <c r="EL24" i="28"/>
  <c r="JL24" i="28"/>
  <c r="EL25" i="47"/>
  <c r="GY25" i="47"/>
  <c r="IL46" i="47"/>
  <c r="AL46" i="47"/>
  <c r="AA22" i="70"/>
  <c r="EW7" i="28"/>
  <c r="HW7" i="28"/>
  <c r="C17" i="47"/>
  <c r="BJ17" i="47" s="1"/>
  <c r="CY24" i="28"/>
  <c r="JY24" i="28"/>
  <c r="AL25" i="47"/>
  <c r="HL25" i="47"/>
  <c r="D46" i="47"/>
  <c r="GK46" i="47" s="1"/>
  <c r="AY46" i="47"/>
  <c r="U22" i="70"/>
  <c r="FJ7" i="28"/>
  <c r="JJ7" i="28"/>
  <c r="DY24" i="28"/>
  <c r="FY24" i="28"/>
  <c r="L25" i="47"/>
  <c r="EY25" i="47"/>
  <c r="CY46" i="47"/>
  <c r="BL46" i="47"/>
  <c r="DW7" i="28"/>
  <c r="IJ7" i="28"/>
  <c r="BL25" i="47"/>
  <c r="HY25" i="47"/>
  <c r="GL46" i="47"/>
  <c r="JL46" i="47"/>
  <c r="W7" i="28"/>
  <c r="CW7" i="28"/>
  <c r="HJ7" i="28"/>
  <c r="EY24" i="28"/>
  <c r="GY24" i="28"/>
  <c r="L24" i="28"/>
  <c r="KL24" i="28"/>
  <c r="HY24" i="28"/>
  <c r="DL25" i="47"/>
  <c r="IY25" i="47"/>
  <c r="CL46" i="47"/>
  <c r="BY46" i="47"/>
  <c r="FW7" i="28"/>
  <c r="GW7" i="28"/>
  <c r="KW7" i="28"/>
  <c r="AL24" i="28"/>
  <c r="CL24" i="28"/>
  <c r="KY24" i="28"/>
  <c r="BY25" i="47"/>
  <c r="L46" i="47"/>
  <c r="BW7" i="28"/>
  <c r="DJ7" i="28"/>
  <c r="CY10" i="28"/>
  <c r="V23" i="72"/>
  <c r="AY36" i="28"/>
  <c r="JY36" i="28"/>
  <c r="LY10" i="28"/>
  <c r="GL10" i="28"/>
  <c r="EY36" i="28"/>
  <c r="GY36" i="28"/>
  <c r="D10" i="28"/>
  <c r="AK10" i="28" s="1"/>
  <c r="FL10" i="28"/>
  <c r="FL36" i="28"/>
  <c r="IY36" i="28"/>
  <c r="KY10" i="28"/>
  <c r="HY10" i="28"/>
  <c r="DL36" i="28"/>
  <c r="JL36" i="28"/>
  <c r="Y10" i="28"/>
  <c r="IY10" i="28"/>
  <c r="AA29" i="70"/>
  <c r="BY36" i="28"/>
  <c r="KL36" i="28"/>
  <c r="AL10" i="28"/>
  <c r="EY10" i="28"/>
  <c r="AL36" i="28"/>
  <c r="LL36" i="28"/>
  <c r="HL10" i="28"/>
  <c r="GY10" i="28"/>
  <c r="EL36" i="28"/>
  <c r="GL36" i="28"/>
  <c r="AY10" i="28"/>
  <c r="EL10" i="28"/>
  <c r="JL10" i="28"/>
  <c r="CY36" i="28"/>
  <c r="HL36" i="28"/>
  <c r="L10" i="28"/>
  <c r="DL10" i="28"/>
  <c r="LL10" i="28"/>
  <c r="Y36" i="28"/>
  <c r="BL36" i="28"/>
  <c r="LY36" i="28"/>
  <c r="BL10" i="28"/>
  <c r="DY10" i="28"/>
  <c r="L36" i="28"/>
  <c r="FY36" i="28"/>
  <c r="JY10" i="28"/>
  <c r="BY10" i="28"/>
  <c r="D41" i="28"/>
  <c r="K41" i="28" s="1"/>
  <c r="C46" i="28"/>
  <c r="J46" i="28" s="1"/>
  <c r="Z22" i="71"/>
  <c r="LW11" i="28"/>
  <c r="EW11" i="28"/>
  <c r="HJ13" i="28"/>
  <c r="LW13" i="28"/>
  <c r="JJ11" i="28"/>
  <c r="DJ11" i="28"/>
  <c r="U26" i="61"/>
  <c r="IJ13" i="28"/>
  <c r="IW13" i="28"/>
  <c r="C36" i="28"/>
  <c r="CJ36" i="28" s="1"/>
  <c r="FJ23" i="28"/>
  <c r="LJ11" i="28"/>
  <c r="BW11" i="28"/>
  <c r="W13" i="28"/>
  <c r="KJ13" i="28"/>
  <c r="JW13" i="28"/>
  <c r="JJ23" i="28"/>
  <c r="KW11" i="28"/>
  <c r="FW11" i="28"/>
  <c r="CW13" i="28"/>
  <c r="GJ13" i="28"/>
  <c r="LJ13" i="28"/>
  <c r="IW11" i="28"/>
  <c r="AJ11" i="28"/>
  <c r="GW13" i="28"/>
  <c r="B13" i="28"/>
  <c r="CV13" i="28" s="1"/>
  <c r="KW13" i="28"/>
  <c r="IJ11" i="28"/>
  <c r="EJ11" i="28"/>
  <c r="AJ13" i="28"/>
  <c r="BJ13" i="28"/>
  <c r="AW11" i="28"/>
  <c r="CJ11" i="28"/>
  <c r="CW11" i="28"/>
  <c r="DJ13" i="28"/>
  <c r="FJ13" i="28"/>
  <c r="W11" i="28"/>
  <c r="FJ11" i="28"/>
  <c r="AA23" i="70"/>
  <c r="EJ13" i="28"/>
  <c r="BW13" i="28"/>
  <c r="O5" i="71"/>
  <c r="JW11" i="28"/>
  <c r="J11" i="28"/>
  <c r="BJ11" i="28"/>
  <c r="U23" i="70"/>
  <c r="AW13" i="28"/>
  <c r="HW13" i="28"/>
  <c r="IJ27" i="47"/>
  <c r="HJ11" i="28"/>
  <c r="HW11" i="28"/>
  <c r="DW11" i="28"/>
  <c r="DW13" i="28"/>
  <c r="JW27" i="47"/>
  <c r="EL11" i="47"/>
  <c r="DL11" i="47"/>
  <c r="DY29" i="28"/>
  <c r="HL29" i="28"/>
  <c r="LY34" i="28"/>
  <c r="FY34" i="28"/>
  <c r="KL34" i="28"/>
  <c r="AL11" i="47"/>
  <c r="HY11" i="47"/>
  <c r="KL29" i="28"/>
  <c r="IL29" i="28"/>
  <c r="Y34" i="28"/>
  <c r="FL34" i="28"/>
  <c r="D34" i="28"/>
  <c r="IX34" i="28" s="1"/>
  <c r="Y11" i="47"/>
  <c r="FY11" i="47"/>
  <c r="Y29" i="28"/>
  <c r="EY29" i="28"/>
  <c r="JL34" i="28"/>
  <c r="GY34" i="28"/>
  <c r="DY11" i="47"/>
  <c r="HL11" i="47"/>
  <c r="L29" i="28"/>
  <c r="FL29" i="28"/>
  <c r="L34" i="28"/>
  <c r="IY34" i="28"/>
  <c r="T22" i="72"/>
  <c r="AA28" i="72" s="1"/>
  <c r="M6" i="72"/>
  <c r="LL11" i="47"/>
  <c r="AY11" i="47"/>
  <c r="KY11" i="47"/>
  <c r="AL29" i="28"/>
  <c r="GY29" i="28"/>
  <c r="BL34" i="28"/>
  <c r="AL34" i="28"/>
  <c r="IL11" i="47"/>
  <c r="BL11" i="47"/>
  <c r="EY11" i="47"/>
  <c r="AY29" i="28"/>
  <c r="IY29" i="28"/>
  <c r="GL34" i="28"/>
  <c r="BY34" i="28"/>
  <c r="GX14" i="28"/>
  <c r="D11" i="47"/>
  <c r="FX11" i="47" s="1"/>
  <c r="FL11" i="47"/>
  <c r="KL11" i="47"/>
  <c r="EL29" i="28"/>
  <c r="HY29" i="28"/>
  <c r="HY34" i="28"/>
  <c r="JY34" i="28"/>
  <c r="JK14" i="28"/>
  <c r="LY11" i="47"/>
  <c r="BY11" i="47"/>
  <c r="LY29" i="28"/>
  <c r="BL29" i="28"/>
  <c r="JY29" i="28"/>
  <c r="CY34" i="28"/>
  <c r="DL34" i="28"/>
  <c r="IY11" i="47"/>
  <c r="GL11" i="47"/>
  <c r="KY29" i="28"/>
  <c r="BY29" i="28"/>
  <c r="D29" i="28"/>
  <c r="EK29" i="28" s="1"/>
  <c r="HL34" i="28"/>
  <c r="EL34" i="28"/>
  <c r="GY11" i="47"/>
  <c r="CL11" i="47"/>
  <c r="CL29" i="28"/>
  <c r="GL29" i="28"/>
  <c r="LL29" i="28"/>
  <c r="AY34" i="28"/>
  <c r="EY34" i="28"/>
  <c r="Z28" i="72"/>
  <c r="GL41" i="28"/>
  <c r="CY41" i="28"/>
  <c r="LY41" i="28"/>
  <c r="HY41" i="28"/>
  <c r="AL41" i="28"/>
  <c r="FL41" i="28"/>
  <c r="KL41" i="28"/>
  <c r="EY41" i="28"/>
  <c r="L41" i="28"/>
  <c r="LL41" i="28"/>
  <c r="AY41" i="28"/>
  <c r="BL41" i="28"/>
  <c r="EL41" i="28"/>
  <c r="GY41" i="28"/>
  <c r="JY41" i="28"/>
  <c r="Y41" i="28"/>
  <c r="JL41" i="28"/>
  <c r="HL41" i="28"/>
  <c r="CL41" i="28"/>
  <c r="IY41" i="28"/>
  <c r="FY41" i="28"/>
  <c r="IL41" i="28"/>
  <c r="KY41" i="28"/>
  <c r="BY41" i="28"/>
  <c r="JL11" i="47"/>
  <c r="CY29" i="28"/>
  <c r="CL34" i="28"/>
  <c r="DL41" i="28"/>
  <c r="Z30" i="72"/>
  <c r="H7" i="72"/>
  <c r="O6" i="72"/>
  <c r="O8" i="72"/>
  <c r="M7" i="72"/>
  <c r="C46" i="47"/>
  <c r="J46" i="47" s="1"/>
  <c r="M8" i="72"/>
  <c r="C41" i="47"/>
  <c r="BW41" i="47" s="1"/>
  <c r="I6" i="72"/>
  <c r="T22" i="71"/>
  <c r="H6" i="72"/>
  <c r="I8" i="72"/>
  <c r="I5" i="72"/>
  <c r="C41" i="28"/>
  <c r="H8" i="72"/>
  <c r="Z24" i="72"/>
  <c r="T24" i="72"/>
  <c r="AA24" i="72" s="1"/>
  <c r="I7" i="72"/>
  <c r="O7" i="72"/>
  <c r="M5" i="72"/>
  <c r="HJ27" i="47"/>
  <c r="J27" i="47"/>
  <c r="M6" i="71"/>
  <c r="N5" i="71"/>
  <c r="I6" i="71"/>
  <c r="E45" i="28"/>
  <c r="LY45" i="28" s="1"/>
  <c r="W27" i="47"/>
  <c r="CW27" i="47"/>
  <c r="N7" i="71"/>
  <c r="H7" i="71"/>
  <c r="DW27" i="47"/>
  <c r="GJ27" i="47"/>
  <c r="I7" i="71"/>
  <c r="O6" i="71"/>
  <c r="KW27" i="47"/>
  <c r="KJ27" i="47"/>
  <c r="H6" i="71"/>
  <c r="J6" i="71" s="1"/>
  <c r="I5" i="71"/>
  <c r="HW27" i="47"/>
  <c r="CJ27" i="47"/>
  <c r="Z32" i="71"/>
  <c r="AW27" i="47"/>
  <c r="DJ27" i="47"/>
  <c r="M5" i="71"/>
  <c r="EW27" i="47"/>
  <c r="BJ27" i="47"/>
  <c r="M8" i="71"/>
  <c r="T26" i="71"/>
  <c r="AA32" i="71" s="1"/>
  <c r="AJ27" i="47"/>
  <c r="LW27" i="47"/>
  <c r="FJ27" i="47"/>
  <c r="O7" i="71"/>
  <c r="GW27" i="47"/>
  <c r="LJ27" i="47"/>
  <c r="JJ27" i="47"/>
  <c r="M7" i="71"/>
  <c r="O8" i="71"/>
  <c r="IW27" i="47"/>
  <c r="BW27" i="47"/>
  <c r="B27" i="47"/>
  <c r="CV27" i="47" s="1"/>
  <c r="N6" i="71"/>
  <c r="H8" i="71"/>
  <c r="N8" i="71"/>
  <c r="EJ27" i="47"/>
  <c r="I8" i="71"/>
  <c r="H5" i="71"/>
  <c r="E45" i="47"/>
  <c r="JL45" i="47" s="1"/>
  <c r="E42" i="47"/>
  <c r="E42" i="28"/>
  <c r="T27" i="71"/>
  <c r="Z27" i="71"/>
  <c r="T26" i="63"/>
  <c r="U26" i="63" s="1"/>
  <c r="BX14" i="28"/>
  <c r="LX14" i="28"/>
  <c r="E34" i="47"/>
  <c r="CK14" i="28"/>
  <c r="H5" i="72"/>
  <c r="Z22" i="72"/>
  <c r="HX14" i="28"/>
  <c r="DX14" i="28"/>
  <c r="CX14" i="28"/>
  <c r="GK14" i="28"/>
  <c r="N8" i="72"/>
  <c r="N7" i="72"/>
  <c r="N5" i="72"/>
  <c r="T27" i="72"/>
  <c r="AA33" i="72" s="1"/>
  <c r="O5" i="72"/>
  <c r="N6" i="72"/>
  <c r="Z27" i="72"/>
  <c r="BK14" i="28"/>
  <c r="EX14" i="28"/>
  <c r="IX14" i="28"/>
  <c r="KK14" i="28"/>
  <c r="AX14" i="28"/>
  <c r="X14" i="28"/>
  <c r="DK14" i="28"/>
  <c r="Z30" i="70"/>
  <c r="C29" i="47"/>
  <c r="Z24" i="70"/>
  <c r="T24" i="70"/>
  <c r="V24" i="70" s="1"/>
  <c r="K14" i="28"/>
  <c r="IK14" i="28"/>
  <c r="EK14" i="28"/>
  <c r="Z26" i="63"/>
  <c r="C24" i="47"/>
  <c r="KJ24" i="47" s="1"/>
  <c r="Z32" i="63"/>
  <c r="P25" i="70"/>
  <c r="O8" i="70" s="1"/>
  <c r="FX14" i="28"/>
  <c r="JX14" i="28"/>
  <c r="FK14" i="28"/>
  <c r="AK14" i="28"/>
  <c r="Z24" i="63"/>
  <c r="T24" i="63"/>
  <c r="AA30" i="63" s="1"/>
  <c r="FL14" i="47"/>
  <c r="C22" i="47"/>
  <c r="CJ22" i="47" s="1"/>
  <c r="C22" i="28"/>
  <c r="W22" i="28" s="1"/>
  <c r="HK14" i="28"/>
  <c r="Z31" i="62"/>
  <c r="C16" i="47"/>
  <c r="EW16" i="47" s="1"/>
  <c r="BW23" i="28"/>
  <c r="GJ23" i="28"/>
  <c r="AA26" i="61"/>
  <c r="H8" i="63"/>
  <c r="AJ23" i="28"/>
  <c r="LW23" i="28"/>
  <c r="AA32" i="61"/>
  <c r="DW23" i="28"/>
  <c r="EJ23" i="28"/>
  <c r="KW23" i="28"/>
  <c r="J23" i="28"/>
  <c r="CW23" i="28"/>
  <c r="LJ23" i="28"/>
  <c r="W23" i="28"/>
  <c r="HJ23" i="28"/>
  <c r="B23" i="28"/>
  <c r="HV23" i="28" s="1"/>
  <c r="AW23" i="28"/>
  <c r="KJ23" i="28"/>
  <c r="T25" i="63"/>
  <c r="U25" i="63" s="1"/>
  <c r="BJ23" i="28"/>
  <c r="HW23" i="28"/>
  <c r="FW23" i="28"/>
  <c r="JW23" i="28"/>
  <c r="CJ23" i="28"/>
  <c r="GW23" i="28"/>
  <c r="EW23" i="28"/>
  <c r="IJ23" i="28"/>
  <c r="Z25" i="62"/>
  <c r="DJ23" i="28"/>
  <c r="H5" i="63"/>
  <c r="KX14" i="28"/>
  <c r="T25" i="62"/>
  <c r="V25" i="62" s="1"/>
  <c r="Z25" i="63"/>
  <c r="I7" i="63"/>
  <c r="N8" i="63"/>
  <c r="I6" i="63"/>
  <c r="M7" i="63"/>
  <c r="H6" i="63"/>
  <c r="I5" i="63"/>
  <c r="M8" i="63"/>
  <c r="I8" i="63"/>
  <c r="N5" i="63"/>
  <c r="N6" i="63"/>
  <c r="M5" i="63"/>
  <c r="O7" i="63"/>
  <c r="C23" i="47"/>
  <c r="EJ23" i="47" s="1"/>
  <c r="O6" i="63"/>
  <c r="O8" i="63"/>
  <c r="H7" i="63"/>
  <c r="Z31" i="63"/>
  <c r="N7" i="63"/>
  <c r="IL14" i="47"/>
  <c r="M6" i="63"/>
  <c r="O5" i="63"/>
  <c r="HL14" i="47"/>
  <c r="C10" i="28"/>
  <c r="HW10" i="28" s="1"/>
  <c r="Z32" i="61"/>
  <c r="Z26" i="61"/>
  <c r="C10" i="47"/>
  <c r="S24" i="62"/>
  <c r="R24" i="62"/>
  <c r="Z27" i="61"/>
  <c r="E11" i="28"/>
  <c r="LL11" i="28" s="1"/>
  <c r="T27" i="61"/>
  <c r="U27" i="61" s="1"/>
  <c r="Z33" i="61"/>
  <c r="Q24" i="62"/>
  <c r="E15" i="47" s="1"/>
  <c r="P27" i="62"/>
  <c r="C18" i="47" s="1"/>
  <c r="HY16" i="28"/>
  <c r="DY16" i="28"/>
  <c r="FY16" i="28"/>
  <c r="LL16" i="28"/>
  <c r="LY16" i="28"/>
  <c r="CY16" i="28"/>
  <c r="EY16" i="28"/>
  <c r="JL16" i="28"/>
  <c r="Y16" i="28"/>
  <c r="KY16" i="28"/>
  <c r="GY16" i="28"/>
  <c r="KL16" i="28"/>
  <c r="DL16" i="28"/>
  <c r="D16" i="28"/>
  <c r="IY16" i="28"/>
  <c r="BY16" i="28"/>
  <c r="IL16" i="28"/>
  <c r="AL16" i="28"/>
  <c r="CL16" i="28"/>
  <c r="AY16" i="28"/>
  <c r="EL16" i="28"/>
  <c r="GL16" i="28"/>
  <c r="JY16" i="28"/>
  <c r="BL16" i="28"/>
  <c r="FL16" i="28"/>
  <c r="L16" i="28"/>
  <c r="HL16" i="28"/>
  <c r="Q22" i="62"/>
  <c r="Z28" i="62" s="1"/>
  <c r="HY16" i="47"/>
  <c r="AL16" i="47"/>
  <c r="LL16" i="47"/>
  <c r="EL16" i="47"/>
  <c r="JY16" i="47"/>
  <c r="DY16" i="47"/>
  <c r="KY16" i="47"/>
  <c r="BY16" i="47"/>
  <c r="AY16" i="47"/>
  <c r="BL16" i="47"/>
  <c r="KL16" i="47"/>
  <c r="HL16" i="47"/>
  <c r="LY16" i="47"/>
  <c r="JL16" i="47"/>
  <c r="FY16" i="47"/>
  <c r="FL16" i="47"/>
  <c r="CL16" i="47"/>
  <c r="Y16" i="47"/>
  <c r="L16" i="47"/>
  <c r="CY16" i="47"/>
  <c r="GL16" i="47"/>
  <c r="IL16" i="47"/>
  <c r="GY16" i="47"/>
  <c r="DL16" i="47"/>
  <c r="EY16" i="47"/>
  <c r="IY16" i="47"/>
  <c r="D16" i="47"/>
  <c r="Q23" i="61"/>
  <c r="O6" i="61" s="1"/>
  <c r="C8" i="47"/>
  <c r="Z30" i="61"/>
  <c r="C8" i="28"/>
  <c r="Z24" i="61"/>
  <c r="T24" i="61"/>
  <c r="AA31" i="66"/>
  <c r="U25" i="66"/>
  <c r="V25" i="66"/>
  <c r="AA29" i="68"/>
  <c r="U23" i="68"/>
  <c r="V23" i="68"/>
  <c r="HW72" i="47"/>
  <c r="JW72" i="47"/>
  <c r="J72" i="47"/>
  <c r="KW72" i="47"/>
  <c r="FW72" i="28"/>
  <c r="KW72" i="28"/>
  <c r="U23" i="69"/>
  <c r="AA32" i="62"/>
  <c r="V23" i="69"/>
  <c r="V26" i="62"/>
  <c r="AA23" i="69"/>
  <c r="U26" i="62"/>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Y85" i="28"/>
  <c r="HY85" i="28"/>
  <c r="CL85" i="28"/>
  <c r="JY85" i="28"/>
  <c r="DX73" i="28"/>
  <c r="FX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KY77" i="28"/>
  <c r="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U22" i="66"/>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CW34" i="28"/>
  <c r="BW34" i="28"/>
  <c r="EJ34" i="28"/>
  <c r="JJ34" i="28"/>
  <c r="J34" i="28"/>
  <c r="HW34" i="28"/>
  <c r="LW34" i="28"/>
  <c r="BJ34" i="28"/>
  <c r="FJ34" i="28"/>
  <c r="GJ34" i="28"/>
  <c r="LJ34" i="28"/>
  <c r="DW34" i="28"/>
  <c r="KJ34" i="28"/>
  <c r="JW34" i="28"/>
  <c r="EW34" i="28"/>
  <c r="GW34" i="28"/>
  <c r="HJ34" i="28"/>
  <c r="W34" i="28"/>
  <c r="CJ34" i="28"/>
  <c r="FW34" i="28"/>
  <c r="B34" i="28"/>
  <c r="DJ34" i="28"/>
  <c r="KW34" i="28"/>
  <c r="IJ34" i="28"/>
  <c r="AJ34" i="28"/>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IJ5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IX52" i="28"/>
  <c r="KX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I6" i="47"/>
  <c r="V6" i="47"/>
  <c r="EV6" i="47"/>
  <c r="AV6" i="47"/>
  <c r="LV6" i="47"/>
  <c r="FI6" i="47"/>
  <c r="KV6" i="47"/>
  <c r="KI6" i="47"/>
  <c r="BI6" i="47"/>
  <c r="LI6" i="47"/>
  <c r="JI6" i="47"/>
  <c r="AI6" i="47"/>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DX28" i="47"/>
  <c r="K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EV45" i="47"/>
  <c r="BI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AK55" i="28"/>
  <c r="I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CV51" i="28"/>
  <c r="FV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AV51" i="47"/>
  <c r="FI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BX60" i="47"/>
  <c r="FK60" i="47"/>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HV11" i="28"/>
  <c r="D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GI43" i="28"/>
  <c r="EV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BK32" i="28"/>
  <c r="K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EI65" i="28"/>
  <c r="AV65" i="28"/>
  <c r="HV65"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4" i="28"/>
  <c r="KV24" i="28"/>
  <c r="BV24" i="28"/>
  <c r="JI24" i="28"/>
  <c r="BI24" i="28"/>
  <c r="I24" i="28"/>
  <c r="JI72" i="28"/>
  <c r="E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X22" i="47"/>
  <c r="JK22" i="47"/>
  <c r="HK22" i="47"/>
  <c r="HX22" i="47"/>
  <c r="GX22" i="47"/>
  <c r="CX22" i="47"/>
  <c r="X22" i="47"/>
  <c r="AK22" i="47"/>
  <c r="FI35" i="28" l="1"/>
  <c r="BI35" i="28"/>
  <c r="CK81" i="28"/>
  <c r="JK70" i="28"/>
  <c r="IX81" i="28"/>
  <c r="FX57" i="28"/>
  <c r="KX57" i="28"/>
  <c r="DX70" i="28"/>
  <c r="IW58" i="28"/>
  <c r="FX52" i="28"/>
  <c r="DK52" i="28"/>
  <c r="X52" i="28"/>
  <c r="BX52" i="28"/>
  <c r="IK52" i="28"/>
  <c r="JK52" i="28"/>
  <c r="Z24" i="68"/>
  <c r="GX52" i="28"/>
  <c r="FK52" i="28"/>
  <c r="EJ69" i="47"/>
  <c r="C78" i="28"/>
  <c r="BW78" i="28" s="1"/>
  <c r="EK52" i="28"/>
  <c r="T24" i="68"/>
  <c r="AK52" i="28"/>
  <c r="FI23" i="28"/>
  <c r="LX52" i="28"/>
  <c r="CX52" i="28"/>
  <c r="C78" i="47"/>
  <c r="BK52" i="28"/>
  <c r="KK52" i="28"/>
  <c r="LK52" i="28"/>
  <c r="GK52" i="28"/>
  <c r="K52" i="28"/>
  <c r="HX52" i="28"/>
  <c r="DX52" i="28"/>
  <c r="HK52" i="28"/>
  <c r="CK52" i="28"/>
  <c r="JX52" i="28"/>
  <c r="EX52" i="28"/>
  <c r="JY23" i="28"/>
  <c r="EL23" i="28"/>
  <c r="EJ63" i="28"/>
  <c r="CW63" i="28"/>
  <c r="AX21" i="28"/>
  <c r="JK21" i="28"/>
  <c r="FI48" i="28"/>
  <c r="K46" i="47"/>
  <c r="BX21" i="28"/>
  <c r="DX21" i="28"/>
  <c r="BV37" i="28"/>
  <c r="IV48" i="28"/>
  <c r="FI37" i="28"/>
  <c r="EK81" i="28"/>
  <c r="AK70" i="28"/>
  <c r="CI35" i="28"/>
  <c r="EV35" i="28"/>
  <c r="KI35" i="28"/>
  <c r="GL85" i="28"/>
  <c r="AL85" i="28"/>
  <c r="LW72" i="47"/>
  <c r="CW72" i="47"/>
  <c r="HL23" i="28"/>
  <c r="IL23" i="28"/>
  <c r="LY23" i="28"/>
  <c r="GW31" i="28"/>
  <c r="JK81" i="28"/>
  <c r="GV35" i="28"/>
  <c r="KK81" i="28"/>
  <c r="JX81" i="28"/>
  <c r="DK70" i="28"/>
  <c r="LX70" i="28"/>
  <c r="AV24" i="28"/>
  <c r="DV24" i="28"/>
  <c r="DV35" i="28"/>
  <c r="JI35" i="28"/>
  <c r="DL77" i="47"/>
  <c r="KL85" i="28"/>
  <c r="EL85" i="28"/>
  <c r="KJ72" i="47"/>
  <c r="IW72" i="47"/>
  <c r="JJ72" i="47"/>
  <c r="BY23" i="28"/>
  <c r="JX70" i="28"/>
  <c r="LV35" i="28"/>
  <c r="V24" i="28"/>
  <c r="GX70" i="28"/>
  <c r="GK81" i="28"/>
  <c r="AX81" i="28"/>
  <c r="KX81" i="28"/>
  <c r="EK70" i="28"/>
  <c r="HX70" i="28"/>
  <c r="CI24" i="28"/>
  <c r="EV24" i="28"/>
  <c r="LI35" i="28"/>
  <c r="GI35" i="28"/>
  <c r="CY85" i="28"/>
  <c r="IL85" i="28"/>
  <c r="FJ72" i="47"/>
  <c r="GW72" i="47"/>
  <c r="FW72" i="47"/>
  <c r="JL23" i="28"/>
  <c r="EX70" i="28"/>
  <c r="AI35" i="28"/>
  <c r="HV35" i="28"/>
  <c r="GY85" i="28"/>
  <c r="AY85" i="28"/>
  <c r="BJ72" i="47"/>
  <c r="BW72" i="47"/>
  <c r="AW72" i="47"/>
  <c r="FY23" i="28"/>
  <c r="EY23" i="28"/>
  <c r="KL23" i="28"/>
  <c r="CI25" i="47"/>
  <c r="BK70" i="28"/>
  <c r="AK81" i="28"/>
  <c r="FI24" i="28"/>
  <c r="GV24" i="28"/>
  <c r="KI53" i="47"/>
  <c r="EI35" i="28"/>
  <c r="V35" i="28"/>
  <c r="KY85" i="28"/>
  <c r="EY85" i="28"/>
  <c r="DJ72" i="47"/>
  <c r="IJ72" i="47"/>
  <c r="Y23" i="28"/>
  <c r="HY23" i="28"/>
  <c r="IY23" i="28"/>
  <c r="CV35" i="28"/>
  <c r="CV24" i="28"/>
  <c r="BX81" i="28"/>
  <c r="FV24" i="28"/>
  <c r="K81" i="28"/>
  <c r="DX81" i="28"/>
  <c r="X70" i="28"/>
  <c r="FK70" i="28"/>
  <c r="GI24" i="28"/>
  <c r="HV24" i="28"/>
  <c r="FV35" i="28"/>
  <c r="HI35" i="28"/>
  <c r="DL85" i="28"/>
  <c r="IY85" i="28"/>
  <c r="B72" i="47"/>
  <c r="II72" i="47" s="1"/>
  <c r="EW72" i="47"/>
  <c r="DL23" i="28"/>
  <c r="CY23" i="28"/>
  <c r="KY23" i="28"/>
  <c r="LL23" i="28"/>
  <c r="LK81" i="28"/>
  <c r="FK81" i="28"/>
  <c r="CX81" i="28"/>
  <c r="K70" i="28"/>
  <c r="IK81" i="28"/>
  <c r="EX81" i="28"/>
  <c r="CK70" i="28"/>
  <c r="GK70" i="28"/>
  <c r="HI24" i="28"/>
  <c r="IV24" i="28"/>
  <c r="KV35" i="28"/>
  <c r="IV35" i="28"/>
  <c r="BL85" i="28"/>
  <c r="HL85" i="28"/>
  <c r="D85" i="28"/>
  <c r="HJ72" i="47"/>
  <c r="W72" i="47"/>
  <c r="FL23" i="28"/>
  <c r="GL23" i="28"/>
  <c r="FX70" i="28"/>
  <c r="X81" i="28"/>
  <c r="FX81" i="28"/>
  <c r="AX70" i="28"/>
  <c r="HK70" i="28"/>
  <c r="DI24" i="28"/>
  <c r="KI24" i="28"/>
  <c r="I35" i="28"/>
  <c r="AV35" i="28"/>
  <c r="IK38" i="28"/>
  <c r="JL85" i="28"/>
  <c r="LL85" i="28"/>
  <c r="FL85" i="28"/>
  <c r="EJ72" i="47"/>
  <c r="L23" i="28"/>
  <c r="BL23" i="28"/>
  <c r="AI24" i="28"/>
  <c r="LK70" i="28"/>
  <c r="GX81" i="28"/>
  <c r="BX70" i="28"/>
  <c r="EI24" i="28"/>
  <c r="LI24" i="28"/>
  <c r="DI35" i="28"/>
  <c r="BV35" i="28"/>
  <c r="DX38" i="28"/>
  <c r="BY85" i="28"/>
  <c r="Y85" i="28"/>
  <c r="L85" i="28"/>
  <c r="DW72" i="47"/>
  <c r="AJ72" i="47"/>
  <c r="D23" i="28"/>
  <c r="GX23" i="28" s="1"/>
  <c r="DY23" i="28"/>
  <c r="DK81" i="28"/>
  <c r="AL23" i="28"/>
  <c r="KX70" i="28"/>
  <c r="LX81" i="28"/>
  <c r="IX70" i="28"/>
  <c r="HK81" i="28"/>
  <c r="IK70" i="28"/>
  <c r="BK81" i="28"/>
  <c r="CX70" i="28"/>
  <c r="II24" i="28"/>
  <c r="II35" i="28"/>
  <c r="FY85" i="28"/>
  <c r="CJ72" i="47"/>
  <c r="GJ72" i="47"/>
  <c r="AY23" i="28"/>
  <c r="CL23" i="28"/>
  <c r="LJ31" i="28"/>
  <c r="AA28" i="69"/>
  <c r="V25" i="47"/>
  <c r="HV53" i="47"/>
  <c r="GL77" i="47"/>
  <c r="KW31" i="28"/>
  <c r="HV25" i="47"/>
  <c r="DV53" i="47"/>
  <c r="GI25" i="47"/>
  <c r="GV53" i="47"/>
  <c r="X31" i="28"/>
  <c r="K31" i="28"/>
  <c r="LI38" i="47"/>
  <c r="KX31" i="28"/>
  <c r="EJ50" i="47"/>
  <c r="LK31" i="28"/>
  <c r="IJ31" i="28"/>
  <c r="IX31" i="28"/>
  <c r="IW34" i="28"/>
  <c r="CV72" i="28"/>
  <c r="AV25" i="47"/>
  <c r="EV53" i="47"/>
  <c r="BW72" i="28"/>
  <c r="GW72" i="28"/>
  <c r="DJ31" i="28"/>
  <c r="JJ31" i="28"/>
  <c r="BV72" i="28"/>
  <c r="DW72" i="28"/>
  <c r="LX31" i="28"/>
  <c r="DV72" i="28"/>
  <c r="GV72" i="28"/>
  <c r="BV25" i="47"/>
  <c r="II25" i="47"/>
  <c r="EK31" i="28"/>
  <c r="JX31" i="28"/>
  <c r="BI53" i="47"/>
  <c r="V53" i="47"/>
  <c r="GJ72" i="28"/>
  <c r="IJ72" i="28"/>
  <c r="HI25" i="47"/>
  <c r="LV53" i="47"/>
  <c r="LI72" i="28"/>
  <c r="HV72" i="28"/>
  <c r="CV25" i="47"/>
  <c r="JI25" i="47"/>
  <c r="BX31" i="28"/>
  <c r="FK31" i="28"/>
  <c r="FV53" i="47"/>
  <c r="HI53" i="47"/>
  <c r="CW72" i="28"/>
  <c r="BJ72" i="28"/>
  <c r="LW72" i="28"/>
  <c r="FV72" i="28"/>
  <c r="AX31" i="28"/>
  <c r="HX24" i="28"/>
  <c r="I72" i="28"/>
  <c r="FI72" i="28"/>
  <c r="IV72" i="28"/>
  <c r="DI25" i="47"/>
  <c r="LI25" i="47"/>
  <c r="CK31" i="28"/>
  <c r="GK31" i="28"/>
  <c r="JV53" i="47"/>
  <c r="AJ72" i="28"/>
  <c r="W72" i="28"/>
  <c r="E67" i="28"/>
  <c r="L67" i="28" s="1"/>
  <c r="KV53" i="47"/>
  <c r="JJ72" i="28"/>
  <c r="LJ72" i="28"/>
  <c r="T27" i="69"/>
  <c r="V27" i="69" s="1"/>
  <c r="EV72" i="28"/>
  <c r="LV72" i="28"/>
  <c r="KI25" i="47"/>
  <c r="BI72" i="28"/>
  <c r="HI72" i="28"/>
  <c r="FI25" i="47"/>
  <c r="IV25" i="47"/>
  <c r="AK31" i="28"/>
  <c r="IK31" i="28"/>
  <c r="LI53" i="47"/>
  <c r="LW69" i="28"/>
  <c r="CI27" i="28"/>
  <c r="EJ72" i="28"/>
  <c r="J72" i="28"/>
  <c r="E67" i="47"/>
  <c r="V72" i="28"/>
  <c r="II72" i="28"/>
  <c r="DV25" i="47"/>
  <c r="JV25" i="47"/>
  <c r="CX31" i="28"/>
  <c r="JK31" i="28"/>
  <c r="X8" i="28"/>
  <c r="CI53" i="47"/>
  <c r="I53" i="47"/>
  <c r="CJ69" i="28"/>
  <c r="I27" i="28"/>
  <c r="IW72" i="28"/>
  <c r="KJ72" i="28"/>
  <c r="Z33" i="69"/>
  <c r="AW31" i="28"/>
  <c r="AV72" i="28"/>
  <c r="CI72" i="28"/>
  <c r="KI72" i="28"/>
  <c r="I25" i="47"/>
  <c r="EV25" i="47"/>
  <c r="LV25" i="47"/>
  <c r="DX31" i="28"/>
  <c r="FX31" i="28"/>
  <c r="DX8" i="28"/>
  <c r="GI53" i="28"/>
  <c r="JI53" i="47"/>
  <c r="BV53" i="47"/>
  <c r="JW72" i="28"/>
  <c r="AW72" i="28"/>
  <c r="DW31" i="28"/>
  <c r="CJ72" i="28"/>
  <c r="GI72" i="28"/>
  <c r="EI25" i="47"/>
  <c r="HK31" i="28"/>
  <c r="AI38" i="47"/>
  <c r="HV38" i="47"/>
  <c r="DI72" i="28"/>
  <c r="KV72" i="28"/>
  <c r="AI25" i="47"/>
  <c r="FV25" i="47"/>
  <c r="KV25" i="47"/>
  <c r="EX31" i="28"/>
  <c r="GX31" i="28"/>
  <c r="HI53" i="28"/>
  <c r="CV53" i="47"/>
  <c r="GI53" i="47"/>
  <c r="DJ72" i="28"/>
  <c r="HJ72" i="28"/>
  <c r="KX24" i="28"/>
  <c r="BK31" i="28"/>
  <c r="I38" i="47"/>
  <c r="DV38" i="47"/>
  <c r="AI72" i="28"/>
  <c r="BI25" i="47"/>
  <c r="DK31" i="28"/>
  <c r="KK31" i="28"/>
  <c r="FI53" i="47"/>
  <c r="AV53" i="47"/>
  <c r="IW50" i="47"/>
  <c r="HW72" i="28"/>
  <c r="FJ72" i="28"/>
  <c r="EW72" i="28"/>
  <c r="DK35" i="28"/>
  <c r="AK32" i="28"/>
  <c r="DX32" i="28"/>
  <c r="X32" i="28"/>
  <c r="FX32" i="28"/>
  <c r="HX35" i="28"/>
  <c r="K32" i="28"/>
  <c r="JX32" i="28"/>
  <c r="EX23" i="47"/>
  <c r="AX32" i="28"/>
  <c r="GX32" i="28"/>
  <c r="CK23" i="47"/>
  <c r="CV25" i="28"/>
  <c r="CK32" i="28"/>
  <c r="GK32" i="28"/>
  <c r="IK32" i="28"/>
  <c r="EX32" i="28"/>
  <c r="HK32" i="28"/>
  <c r="HX32" i="28"/>
  <c r="DK32" i="28"/>
  <c r="LK32" i="28"/>
  <c r="AJ31" i="28"/>
  <c r="EW31" i="28"/>
  <c r="JK32" i="28"/>
  <c r="FK32" i="28"/>
  <c r="CW31" i="28"/>
  <c r="LX32" i="28"/>
  <c r="BX32" i="28"/>
  <c r="KJ31" i="28"/>
  <c r="GI25" i="28"/>
  <c r="IX32" i="28"/>
  <c r="EK32" i="28"/>
  <c r="KX32" i="28"/>
  <c r="EJ31" i="28"/>
  <c r="LW31" i="28"/>
  <c r="K6" i="63"/>
  <c r="E18" i="26" s="1"/>
  <c r="J31" i="28"/>
  <c r="HJ31" i="28"/>
  <c r="GJ31" i="28"/>
  <c r="W31" i="28"/>
  <c r="V22" i="69"/>
  <c r="U22" i="69"/>
  <c r="FJ31" i="28"/>
  <c r="FW31" i="28"/>
  <c r="LY62" i="47"/>
  <c r="IW31" i="28"/>
  <c r="BJ31" i="28"/>
  <c r="JW31" i="28"/>
  <c r="BW31" i="28"/>
  <c r="B31" i="28"/>
  <c r="CJ31" i="28"/>
  <c r="FY77" i="28"/>
  <c r="GY77" i="28"/>
  <c r="L77" i="28"/>
  <c r="IL77" i="28"/>
  <c r="CL77" i="28"/>
  <c r="LL77" i="28"/>
  <c r="CY77" i="28"/>
  <c r="AL77" i="28"/>
  <c r="FL77" i="28"/>
  <c r="JY77" i="28"/>
  <c r="DY77" i="28"/>
  <c r="LY77" i="28"/>
  <c r="GL77" i="28"/>
  <c r="KL77" i="28"/>
  <c r="EY77" i="28"/>
  <c r="HL77" i="28"/>
  <c r="AY77" i="28"/>
  <c r="HY77" i="28"/>
  <c r="IY77" i="28"/>
  <c r="D77" i="28"/>
  <c r="CX77" i="28" s="1"/>
  <c r="BY77" i="28"/>
  <c r="JL77" i="28"/>
  <c r="EL77" i="28"/>
  <c r="DL77" i="28"/>
  <c r="CY14" i="47"/>
  <c r="JY14" i="47"/>
  <c r="AX30" i="28"/>
  <c r="JL14" i="47"/>
  <c r="GY14" i="47"/>
  <c r="HY14" i="47"/>
  <c r="DL14" i="47"/>
  <c r="KX30" i="28"/>
  <c r="GL14" i="47"/>
  <c r="EY14" i="47"/>
  <c r="IY14" i="47"/>
  <c r="AL14" i="47"/>
  <c r="AA32" i="70"/>
  <c r="D14" i="47"/>
  <c r="IX14" i="47" s="1"/>
  <c r="AY14" i="47"/>
  <c r="Y14" i="47"/>
  <c r="LY14" i="47"/>
  <c r="FY14" i="47"/>
  <c r="EX36" i="28"/>
  <c r="KL14" i="47"/>
  <c r="BY14" i="47"/>
  <c r="LL14" i="47"/>
  <c r="GI60" i="47"/>
  <c r="IX36" i="28"/>
  <c r="DY14" i="47"/>
  <c r="LV60" i="47"/>
  <c r="EL14" i="47"/>
  <c r="AA26" i="70"/>
  <c r="LW69" i="47"/>
  <c r="CL14" i="47"/>
  <c r="L14" i="47"/>
  <c r="BL14" i="47"/>
  <c r="U26" i="70"/>
  <c r="EK35" i="28"/>
  <c r="IX35" i="28"/>
  <c r="DV25" i="28"/>
  <c r="HI25" i="28"/>
  <c r="X23" i="47"/>
  <c r="KK23" i="47"/>
  <c r="IL56" i="28"/>
  <c r="X35" i="28"/>
  <c r="FK35" i="28"/>
  <c r="JX35" i="28"/>
  <c r="EV25" i="28"/>
  <c r="II25" i="28"/>
  <c r="EK23" i="47"/>
  <c r="LK23" i="47"/>
  <c r="LL56" i="28"/>
  <c r="AX35" i="28"/>
  <c r="BX35" i="28"/>
  <c r="KX35" i="28"/>
  <c r="FI25" i="28"/>
  <c r="JI25" i="28"/>
  <c r="AX23" i="47"/>
  <c r="HX23" i="47"/>
  <c r="KX23" i="47"/>
  <c r="LY56" i="28"/>
  <c r="BK35" i="28"/>
  <c r="CX35" i="28"/>
  <c r="HV25" i="28"/>
  <c r="JV25" i="28"/>
  <c r="DI7" i="28"/>
  <c r="CX23" i="47"/>
  <c r="BX23" i="47"/>
  <c r="LX23" i="47"/>
  <c r="KL44" i="28"/>
  <c r="EL44" i="28"/>
  <c r="GL44" i="28"/>
  <c r="DL44" i="28"/>
  <c r="LL44" i="28"/>
  <c r="D44" i="28"/>
  <c r="FY44" i="28"/>
  <c r="CL44" i="28"/>
  <c r="IY44" i="28"/>
  <c r="GY44" i="28"/>
  <c r="BL44" i="28"/>
  <c r="HL44" i="28"/>
  <c r="FL44" i="28"/>
  <c r="AL44" i="28"/>
  <c r="HY44" i="28"/>
  <c r="EY44" i="28"/>
  <c r="KY44" i="28"/>
  <c r="DY44" i="28"/>
  <c r="L44" i="28"/>
  <c r="JL44" i="28"/>
  <c r="CY44" i="28"/>
  <c r="IL44" i="28"/>
  <c r="BY44" i="28"/>
  <c r="LY44" i="28"/>
  <c r="AY44" i="28"/>
  <c r="JY44" i="28"/>
  <c r="Y44" i="28"/>
  <c r="HK35" i="28"/>
  <c r="DX35" i="28"/>
  <c r="IV25" i="28"/>
  <c r="KI25" i="28"/>
  <c r="JX23" i="47"/>
  <c r="GX23" i="47"/>
  <c r="K35" i="28"/>
  <c r="GV25" i="28"/>
  <c r="LI25" i="28"/>
  <c r="K23" i="47"/>
  <c r="IK23" i="47"/>
  <c r="DW58" i="47"/>
  <c r="EX35" i="28"/>
  <c r="I25" i="28"/>
  <c r="AK35" i="28"/>
  <c r="KK35" i="28"/>
  <c r="BV25" i="28"/>
  <c r="BI25" i="28"/>
  <c r="LV25" i="28"/>
  <c r="BK23" i="47"/>
  <c r="DX23" i="47"/>
  <c r="FW58" i="47"/>
  <c r="LK35" i="28"/>
  <c r="AI25" i="28"/>
  <c r="FX23" i="47"/>
  <c r="HK23" i="47"/>
  <c r="CI25" i="28"/>
  <c r="IK35" i="28"/>
  <c r="LX35" i="28"/>
  <c r="V25" i="28"/>
  <c r="DI25" i="28"/>
  <c r="GK23" i="47"/>
  <c r="IX23" i="47"/>
  <c r="GK35" i="28"/>
  <c r="FX35" i="28"/>
  <c r="AV25" i="28"/>
  <c r="EI25" i="28"/>
  <c r="DK23" i="47"/>
  <c r="AK23" i="47"/>
  <c r="JK35" i="28"/>
  <c r="CK35" i="28"/>
  <c r="FV25" i="28"/>
  <c r="JK23" i="47"/>
  <c r="N6" i="68"/>
  <c r="K6" i="66"/>
  <c r="E53" i="26" s="1"/>
  <c r="V37" i="28"/>
  <c r="CV37" i="28"/>
  <c r="BV11" i="28"/>
  <c r="KV11" i="28"/>
  <c r="AI48" i="28"/>
  <c r="GV48" i="28"/>
  <c r="DX57" i="28"/>
  <c r="BX57" i="28"/>
  <c r="KK57" i="28"/>
  <c r="HX30" i="28"/>
  <c r="GX30" i="28"/>
  <c r="DY77" i="47"/>
  <c r="EL77" i="47"/>
  <c r="AL77" i="47"/>
  <c r="JL62" i="47"/>
  <c r="IL62" i="47"/>
  <c r="DV37" i="28"/>
  <c r="II11" i="28"/>
  <c r="FV11" i="28"/>
  <c r="LV11" i="28"/>
  <c r="BI48" i="28"/>
  <c r="KI48" i="28"/>
  <c r="BI49" i="28"/>
  <c r="K57" i="28"/>
  <c r="CX57" i="28"/>
  <c r="EK57" i="28"/>
  <c r="IX30" i="28"/>
  <c r="DK30" i="28"/>
  <c r="K30" i="28"/>
  <c r="EY77" i="47"/>
  <c r="BL77" i="47"/>
  <c r="D77" i="47"/>
  <c r="KX77" i="47" s="1"/>
  <c r="GL62" i="47"/>
  <c r="GY62" i="47"/>
  <c r="AV37" i="28"/>
  <c r="BI37" i="28"/>
  <c r="EV37" i="28"/>
  <c r="K20" i="28"/>
  <c r="KI11" i="28"/>
  <c r="EI11" i="28"/>
  <c r="JI11" i="28"/>
  <c r="CI48" i="28"/>
  <c r="FV48" i="28"/>
  <c r="GV49" i="28"/>
  <c r="GX57" i="28"/>
  <c r="IK57" i="28"/>
  <c r="CX30" i="28"/>
  <c r="KK30" i="28"/>
  <c r="HK30" i="28"/>
  <c r="CY77" i="47"/>
  <c r="HL77" i="47"/>
  <c r="BY77" i="47"/>
  <c r="FY62" i="47"/>
  <c r="CY62" i="47"/>
  <c r="CI37" i="28"/>
  <c r="FV37" i="28"/>
  <c r="GX20" i="28"/>
  <c r="LI11" i="28"/>
  <c r="CV11" i="28"/>
  <c r="LI48" i="28"/>
  <c r="DI48" i="28"/>
  <c r="GI48" i="28"/>
  <c r="DV49" i="28"/>
  <c r="DK57" i="28"/>
  <c r="LX57" i="28"/>
  <c r="FX30" i="28"/>
  <c r="CK30" i="28"/>
  <c r="LL77" i="47"/>
  <c r="CL77" i="47"/>
  <c r="KL62" i="47"/>
  <c r="KY62" i="47"/>
  <c r="I48" i="28"/>
  <c r="EI48" i="28"/>
  <c r="LV48" i="28"/>
  <c r="AX57" i="28"/>
  <c r="HX57" i="28"/>
  <c r="LX30" i="28"/>
  <c r="EK30" i="28"/>
  <c r="FL77" i="47"/>
  <c r="IY77" i="47"/>
  <c r="HY62" i="47"/>
  <c r="BL62" i="47"/>
  <c r="DI37" i="28"/>
  <c r="EI37" i="28"/>
  <c r="HV37" i="28"/>
  <c r="DK35" i="47"/>
  <c r="V11" i="28"/>
  <c r="BI11" i="28"/>
  <c r="V48" i="28"/>
  <c r="JV48" i="28"/>
  <c r="X57" i="28"/>
  <c r="EX57" i="28"/>
  <c r="AK30" i="28"/>
  <c r="BK30" i="28"/>
  <c r="L77" i="47"/>
  <c r="LY77" i="47"/>
  <c r="L62" i="47"/>
  <c r="DL62" i="47"/>
  <c r="BY62" i="47"/>
  <c r="FI11" i="28"/>
  <c r="GI37" i="28"/>
  <c r="IV37" i="28"/>
  <c r="LK35" i="47"/>
  <c r="AV11" i="28"/>
  <c r="DV11" i="28"/>
  <c r="AV48" i="28"/>
  <c r="II48" i="28"/>
  <c r="CK57" i="28"/>
  <c r="GK57" i="28"/>
  <c r="EX30" i="28"/>
  <c r="DX30" i="28"/>
  <c r="HY77" i="47"/>
  <c r="JY77" i="47"/>
  <c r="HI37" i="28"/>
  <c r="LV37" i="28"/>
  <c r="AI11" i="28"/>
  <c r="JV11" i="28"/>
  <c r="BV48" i="28"/>
  <c r="JI48" i="28"/>
  <c r="HK57" i="28"/>
  <c r="JK57" i="28"/>
  <c r="JK30" i="28"/>
  <c r="LK30" i="28"/>
  <c r="JL77" i="47"/>
  <c r="KL77" i="47"/>
  <c r="IY62" i="47"/>
  <c r="D62" i="47"/>
  <c r="IK62" i="47" s="1"/>
  <c r="JY62" i="47"/>
  <c r="X35" i="47"/>
  <c r="I11" i="28"/>
  <c r="LI37" i="28"/>
  <c r="CI11" i="28"/>
  <c r="IV11" i="28"/>
  <c r="CV48" i="28"/>
  <c r="KV48" i="28"/>
  <c r="FK57" i="28"/>
  <c r="JX57" i="28"/>
  <c r="X30" i="28"/>
  <c r="FK30" i="28"/>
  <c r="IL77" i="47"/>
  <c r="FY77" i="47"/>
  <c r="FL62" i="47"/>
  <c r="JV37" i="28"/>
  <c r="I37" i="28"/>
  <c r="II37" i="28"/>
  <c r="KI37" i="28"/>
  <c r="GI11" i="28"/>
  <c r="HI11" i="28"/>
  <c r="DV48" i="28"/>
  <c r="HV48" i="28"/>
  <c r="BK57" i="28"/>
  <c r="IX57" i="28"/>
  <c r="BX30" i="28"/>
  <c r="IK30" i="28"/>
  <c r="AY77" i="47"/>
  <c r="KY77" i="47"/>
  <c r="EY62" i="47"/>
  <c r="GV37" i="28"/>
  <c r="AI37" i="28"/>
  <c r="JI37" i="28"/>
  <c r="EV11" i="28"/>
  <c r="EV48" i="28"/>
  <c r="AK57" i="28"/>
  <c r="JX30" i="28"/>
  <c r="Y77" i="47"/>
  <c r="DY62" i="47"/>
  <c r="LI60" i="47"/>
  <c r="CV60" i="47"/>
  <c r="FK36" i="28"/>
  <c r="JK36" i="28"/>
  <c r="JX60" i="47"/>
  <c r="EK60" i="47"/>
  <c r="BV45" i="47"/>
  <c r="CI45" i="47"/>
  <c r="FV45" i="47"/>
  <c r="HK38" i="28"/>
  <c r="EK38" i="28"/>
  <c r="LJ50" i="28"/>
  <c r="AJ58" i="28"/>
  <c r="B69" i="47"/>
  <c r="GI69" i="47" s="1"/>
  <c r="DW69" i="47"/>
  <c r="LJ69" i="47"/>
  <c r="BI60" i="47"/>
  <c r="FV60" i="47"/>
  <c r="DK36" i="28"/>
  <c r="KK36" i="28"/>
  <c r="AK60" i="47"/>
  <c r="GK60" i="47"/>
  <c r="HV45" i="47"/>
  <c r="JI45" i="47"/>
  <c r="IV45" i="47"/>
  <c r="HX38" i="28"/>
  <c r="BX38" i="28"/>
  <c r="GJ50" i="28"/>
  <c r="B58" i="28"/>
  <c r="CI58" i="28" s="1"/>
  <c r="EW58" i="28"/>
  <c r="KW69" i="47"/>
  <c r="BJ69" i="47"/>
  <c r="GJ69" i="47"/>
  <c r="HI60" i="47"/>
  <c r="GV60" i="47"/>
  <c r="BX36" i="28"/>
  <c r="LK36" i="28"/>
  <c r="HX60" i="47"/>
  <c r="KX60" i="47"/>
  <c r="JV45" i="47"/>
  <c r="AV45" i="47"/>
  <c r="IX38" i="28"/>
  <c r="BK38" i="28"/>
  <c r="KJ50" i="28"/>
  <c r="LJ58" i="28"/>
  <c r="GJ58" i="28"/>
  <c r="CJ69" i="47"/>
  <c r="AJ69" i="47"/>
  <c r="EW69" i="47"/>
  <c r="KV60" i="47"/>
  <c r="BV60" i="47"/>
  <c r="EK36" i="28"/>
  <c r="GK36" i="28"/>
  <c r="LX60" i="47"/>
  <c r="AX60" i="47"/>
  <c r="V45" i="47"/>
  <c r="II45" i="47"/>
  <c r="X38" i="28"/>
  <c r="FX38" i="28"/>
  <c r="FW50" i="28"/>
  <c r="AW58" i="28"/>
  <c r="EJ58" i="28"/>
  <c r="FJ69" i="47"/>
  <c r="IJ69" i="47"/>
  <c r="CX36" i="28"/>
  <c r="HK36" i="28"/>
  <c r="BK60" i="47"/>
  <c r="CX60" i="47"/>
  <c r="EI45" i="47"/>
  <c r="KV45" i="47"/>
  <c r="AX38" i="28"/>
  <c r="FK38" i="28"/>
  <c r="J50" i="28"/>
  <c r="DJ58" i="28"/>
  <c r="BJ58" i="28"/>
  <c r="GW69" i="47"/>
  <c r="BW69" i="47"/>
  <c r="AV60" i="47"/>
  <c r="DI60" i="47"/>
  <c r="CI60" i="47"/>
  <c r="HV60" i="47"/>
  <c r="BK36" i="28"/>
  <c r="HX36" i="28"/>
  <c r="IK60" i="47"/>
  <c r="HK60" i="47"/>
  <c r="GV45" i="47"/>
  <c r="I45" i="47"/>
  <c r="EX38" i="28"/>
  <c r="DK38" i="28"/>
  <c r="AW50" i="28"/>
  <c r="KW58" i="28"/>
  <c r="CJ58" i="28"/>
  <c r="JJ69" i="47"/>
  <c r="CW69" i="47"/>
  <c r="JI60" i="47"/>
  <c r="EV60" i="47"/>
  <c r="AK36" i="28"/>
  <c r="FX36" i="28"/>
  <c r="KX36" i="28"/>
  <c r="KK60" i="47"/>
  <c r="X60" i="47"/>
  <c r="LI45" i="47"/>
  <c r="CV45" i="47"/>
  <c r="JX38" i="28"/>
  <c r="GK38" i="28"/>
  <c r="DJ50" i="28"/>
  <c r="JJ58" i="28"/>
  <c r="FJ58" i="28"/>
  <c r="FW69" i="47"/>
  <c r="AW69" i="47"/>
  <c r="I60" i="47"/>
  <c r="KI60" i="47"/>
  <c r="EI60" i="47"/>
  <c r="X36" i="28"/>
  <c r="DX36" i="28"/>
  <c r="LX36" i="28"/>
  <c r="FX60" i="47"/>
  <c r="DK60" i="47"/>
  <c r="EX60" i="47"/>
  <c r="DI45" i="47"/>
  <c r="FI45" i="47"/>
  <c r="JK38" i="28"/>
  <c r="KK38" i="28"/>
  <c r="HJ50" i="28"/>
  <c r="JW58" i="28"/>
  <c r="W58" i="28"/>
  <c r="HJ69" i="47"/>
  <c r="KJ69" i="47"/>
  <c r="FI60" i="47"/>
  <c r="V60" i="47"/>
  <c r="II60" i="47"/>
  <c r="K36" i="28"/>
  <c r="IK36" i="28"/>
  <c r="DX60" i="47"/>
  <c r="CK60" i="47"/>
  <c r="IX60" i="47"/>
  <c r="AI45" i="47"/>
  <c r="DV45" i="47"/>
  <c r="LK38" i="28"/>
  <c r="CK38" i="28"/>
  <c r="LX38" i="28"/>
  <c r="DW50" i="28"/>
  <c r="DW58" i="28"/>
  <c r="LW58" i="28"/>
  <c r="JW69" i="47"/>
  <c r="IW69" i="47"/>
  <c r="JV60" i="47"/>
  <c r="DV60" i="47"/>
  <c r="AX36" i="28"/>
  <c r="JX36" i="28"/>
  <c r="JK60" i="47"/>
  <c r="GX60" i="47"/>
  <c r="HI45" i="47"/>
  <c r="GI45" i="47"/>
  <c r="CX38" i="28"/>
  <c r="AK38" i="28"/>
  <c r="KX38" i="28"/>
  <c r="AJ50" i="28"/>
  <c r="HW58" i="28"/>
  <c r="DJ69" i="47"/>
  <c r="W69" i="47"/>
  <c r="AI60" i="47"/>
  <c r="CK36" i="28"/>
  <c r="K60" i="47"/>
  <c r="LV45" i="47"/>
  <c r="GX38" i="28"/>
  <c r="JI7" i="28"/>
  <c r="W50" i="28"/>
  <c r="CW58" i="28"/>
  <c r="J69" i="47"/>
  <c r="K7" i="66"/>
  <c r="K8" i="66"/>
  <c r="J6" i="66"/>
  <c r="KX55" i="28"/>
  <c r="GX55" i="28"/>
  <c r="EW63" i="28"/>
  <c r="DJ63" i="28"/>
  <c r="L8" i="66"/>
  <c r="AV8" i="66" s="1"/>
  <c r="CK55" i="28"/>
  <c r="AX55" i="28"/>
  <c r="LK55" i="28"/>
  <c r="HJ63" i="28"/>
  <c r="B63" i="28"/>
  <c r="GI63" i="28" s="1"/>
  <c r="EX55" i="28"/>
  <c r="DK55" i="28"/>
  <c r="LX55" i="28"/>
  <c r="BJ63" i="28"/>
  <c r="JJ63" i="28"/>
  <c r="JK55" i="28"/>
  <c r="IX55" i="28"/>
  <c r="IW63" i="28"/>
  <c r="AJ63" i="28"/>
  <c r="CX55" i="28"/>
  <c r="EK55" i="28"/>
  <c r="DW63" i="28"/>
  <c r="KW63" i="28"/>
  <c r="FX55" i="28"/>
  <c r="KK55" i="28"/>
  <c r="BX52" i="47"/>
  <c r="GW63" i="28"/>
  <c r="W63" i="28"/>
  <c r="HX55" i="28"/>
  <c r="DX55" i="28"/>
  <c r="JK52" i="47"/>
  <c r="LJ63" i="28"/>
  <c r="AW63" i="28"/>
  <c r="JW63" i="28"/>
  <c r="GK55" i="28"/>
  <c r="BK55" i="28"/>
  <c r="BW63" i="28"/>
  <c r="GJ63" i="28"/>
  <c r="FJ63" i="28"/>
  <c r="HK55" i="28"/>
  <c r="X55" i="28"/>
  <c r="KJ63" i="28"/>
  <c r="FW63" i="28"/>
  <c r="CJ63" i="28"/>
  <c r="JX55" i="28"/>
  <c r="FK55" i="28"/>
  <c r="IJ63" i="28"/>
  <c r="J63" i="28"/>
  <c r="GW42" i="28"/>
  <c r="K55" i="28"/>
  <c r="HW63" i="28"/>
  <c r="HW42" i="28"/>
  <c r="I7" i="68"/>
  <c r="EV65" i="28"/>
  <c r="BI65" i="28"/>
  <c r="LV65" i="28"/>
  <c r="FI43" i="28"/>
  <c r="HI43" i="28"/>
  <c r="IK73" i="28"/>
  <c r="AX73" i="28"/>
  <c r="GI65" i="28"/>
  <c r="KV65" i="28"/>
  <c r="BV43" i="28"/>
  <c r="KI43" i="28"/>
  <c r="LK73" i="28"/>
  <c r="IX73" i="28"/>
  <c r="IV65" i="28"/>
  <c r="BV65" i="28"/>
  <c r="EI43" i="28"/>
  <c r="HV43" i="28"/>
  <c r="GX73" i="28"/>
  <c r="HX73" i="28"/>
  <c r="FV65" i="28"/>
  <c r="CI65" i="28"/>
  <c r="CV43" i="28"/>
  <c r="II43" i="28"/>
  <c r="LJ56" i="47"/>
  <c r="BK73" i="28"/>
  <c r="DK73" i="28"/>
  <c r="HY48" i="28"/>
  <c r="HI65" i="28"/>
  <c r="KI65" i="28"/>
  <c r="BI43" i="28"/>
  <c r="JV43" i="28"/>
  <c r="EJ56" i="47"/>
  <c r="AK73" i="28"/>
  <c r="CK73" i="28"/>
  <c r="V65" i="28"/>
  <c r="I65" i="28"/>
  <c r="FV43" i="28"/>
  <c r="LI43" i="28"/>
  <c r="HK73" i="28"/>
  <c r="KK73" i="28"/>
  <c r="EK73" i="28"/>
  <c r="Z26" i="68"/>
  <c r="GV65" i="28"/>
  <c r="CV65" i="28"/>
  <c r="I43" i="28"/>
  <c r="DV43" i="28"/>
  <c r="KV43" i="28"/>
  <c r="EX73" i="28"/>
  <c r="KX73" i="28"/>
  <c r="LX73" i="28"/>
  <c r="Z32" i="68"/>
  <c r="II65" i="28"/>
  <c r="DI65" i="28"/>
  <c r="V43" i="28"/>
  <c r="CI43" i="28"/>
  <c r="LV43" i="28"/>
  <c r="X73" i="28"/>
  <c r="CX73" i="28"/>
  <c r="E80" i="28"/>
  <c r="IY80" i="28" s="1"/>
  <c r="AI65" i="28"/>
  <c r="LI65" i="28"/>
  <c r="DI43" i="28"/>
  <c r="GV43" i="28"/>
  <c r="K73" i="28"/>
  <c r="BX73" i="28"/>
  <c r="T26" i="68"/>
  <c r="JV65" i="28"/>
  <c r="FI65" i="28"/>
  <c r="AI43" i="28"/>
  <c r="IV43" i="28"/>
  <c r="FK73" i="28"/>
  <c r="GK73" i="28"/>
  <c r="E80" i="47"/>
  <c r="JI65" i="28"/>
  <c r="AV43" i="28"/>
  <c r="JX73" i="28"/>
  <c r="I6" i="69"/>
  <c r="AA28" i="66"/>
  <c r="V22" i="66"/>
  <c r="L7" i="66"/>
  <c r="AV7" i="66" s="1"/>
  <c r="I15" i="47"/>
  <c r="DI15" i="47"/>
  <c r="CI15" i="47"/>
  <c r="FI15" i="47"/>
  <c r="U23" i="62"/>
  <c r="JY88" i="47"/>
  <c r="V23" i="62"/>
  <c r="AA29" i="62"/>
  <c r="FY88" i="47"/>
  <c r="DL88" i="47"/>
  <c r="L88" i="47"/>
  <c r="IY88" i="47"/>
  <c r="H5" i="67"/>
  <c r="O7" i="67"/>
  <c r="EL88" i="47"/>
  <c r="BY88" i="47"/>
  <c r="IL88" i="47"/>
  <c r="HL88" i="47"/>
  <c r="CL88" i="47"/>
  <c r="I6" i="67"/>
  <c r="EY88" i="47"/>
  <c r="LL88" i="47"/>
  <c r="M8" i="67"/>
  <c r="I8" i="67"/>
  <c r="H7" i="67"/>
  <c r="AY88" i="47"/>
  <c r="O6" i="67"/>
  <c r="LY88" i="47"/>
  <c r="HY88" i="47"/>
  <c r="H8" i="67"/>
  <c r="M6" i="67"/>
  <c r="BL88" i="47"/>
  <c r="KY88" i="47"/>
  <c r="I5" i="67"/>
  <c r="Z33" i="67"/>
  <c r="M5" i="67"/>
  <c r="I7" i="67"/>
  <c r="N6" i="67"/>
  <c r="H6" i="67"/>
  <c r="T27" i="67"/>
  <c r="U27" i="67" s="1"/>
  <c r="N5" i="67"/>
  <c r="GL88" i="47"/>
  <c r="H6" i="69"/>
  <c r="O5" i="67"/>
  <c r="DY88" i="47"/>
  <c r="KL88" i="47"/>
  <c r="E88" i="28"/>
  <c r="IY88" i="28" s="1"/>
  <c r="GY88" i="47"/>
  <c r="Y88" i="47"/>
  <c r="Z27" i="67"/>
  <c r="O8" i="67"/>
  <c r="M7" i="67"/>
  <c r="FL88" i="47"/>
  <c r="J6" i="65"/>
  <c r="J8" i="66"/>
  <c r="JL88" i="47"/>
  <c r="N7" i="67"/>
  <c r="CY88" i="47"/>
  <c r="N8" i="67"/>
  <c r="FX21" i="28"/>
  <c r="M5" i="69"/>
  <c r="JX21" i="28"/>
  <c r="LX21" i="28"/>
  <c r="AK21" i="28"/>
  <c r="GK21" i="28"/>
  <c r="KX21" i="28"/>
  <c r="X21" i="28"/>
  <c r="HK21" i="28"/>
  <c r="AX28" i="47"/>
  <c r="IK21" i="28"/>
  <c r="CX21" i="28"/>
  <c r="BK28" i="47"/>
  <c r="J5" i="66"/>
  <c r="EX21" i="28"/>
  <c r="IK25" i="47"/>
  <c r="IX28" i="47"/>
  <c r="Z24" i="69"/>
  <c r="K21" i="28"/>
  <c r="BK21" i="28"/>
  <c r="KK21" i="28"/>
  <c r="LX25" i="47"/>
  <c r="DK28" i="47"/>
  <c r="CX28" i="47"/>
  <c r="EY48" i="28"/>
  <c r="N7" i="69"/>
  <c r="CK21" i="28"/>
  <c r="BI21" i="28"/>
  <c r="DJ56" i="47"/>
  <c r="GX21" i="28"/>
  <c r="DK21" i="28"/>
  <c r="HX21" i="28"/>
  <c r="EK21" i="28"/>
  <c r="IX21" i="28"/>
  <c r="HV21" i="28"/>
  <c r="FK21" i="28"/>
  <c r="D88" i="47"/>
  <c r="HK88" i="47" s="1"/>
  <c r="KW41" i="47"/>
  <c r="LW42" i="47"/>
  <c r="BW42" i="47"/>
  <c r="IY48" i="28"/>
  <c r="I8" i="69"/>
  <c r="X25" i="47"/>
  <c r="FX25" i="47"/>
  <c r="FK25" i="47"/>
  <c r="DI21" i="28"/>
  <c r="HI21" i="28"/>
  <c r="DV7" i="28"/>
  <c r="B56" i="47"/>
  <c r="KV56" i="47" s="1"/>
  <c r="BW56" i="47"/>
  <c r="IJ41" i="47"/>
  <c r="E64" i="28"/>
  <c r="LY64" i="28" s="1"/>
  <c r="O7" i="69"/>
  <c r="JY48" i="28"/>
  <c r="Z30" i="69"/>
  <c r="CK25" i="47"/>
  <c r="KK25" i="47"/>
  <c r="JX25" i="47"/>
  <c r="EI21" i="28"/>
  <c r="GV21" i="28"/>
  <c r="LI7" i="28"/>
  <c r="EW56" i="47"/>
  <c r="W56" i="47"/>
  <c r="E64" i="47"/>
  <c r="FY64" i="47" s="1"/>
  <c r="FL48" i="28"/>
  <c r="CI21" i="28"/>
  <c r="GX25" i="47"/>
  <c r="DK25" i="47"/>
  <c r="V21" i="28"/>
  <c r="IV21" i="28"/>
  <c r="V7" i="28"/>
  <c r="JJ56" i="47"/>
  <c r="GW56" i="47"/>
  <c r="KY48" i="28"/>
  <c r="LL48" i="28"/>
  <c r="IL48" i="28"/>
  <c r="O8" i="69"/>
  <c r="LW56" i="47"/>
  <c r="LK25" i="47"/>
  <c r="GK25" i="47"/>
  <c r="KV21" i="28"/>
  <c r="AV21" i="28"/>
  <c r="GI21" i="28"/>
  <c r="BV7" i="28"/>
  <c r="KJ56" i="47"/>
  <c r="CJ56" i="47"/>
  <c r="H5" i="69"/>
  <c r="AL48" i="28"/>
  <c r="L48" i="28"/>
  <c r="AY48" i="28"/>
  <c r="JL48" i="28"/>
  <c r="AX25" i="47"/>
  <c r="JI21" i="28"/>
  <c r="CX25" i="47"/>
  <c r="JK25" i="47"/>
  <c r="LI21" i="28"/>
  <c r="BV21" i="28"/>
  <c r="LV21" i="28"/>
  <c r="HI7" i="28"/>
  <c r="IW56" i="47"/>
  <c r="J56" i="47"/>
  <c r="LY48" i="28"/>
  <c r="CL48" i="28"/>
  <c r="HL48" i="28"/>
  <c r="DX25" i="47"/>
  <c r="K25" i="47"/>
  <c r="KI21" i="28"/>
  <c r="CV21" i="28"/>
  <c r="AI16" i="28"/>
  <c r="BX48" i="47"/>
  <c r="EV7" i="28"/>
  <c r="HJ56" i="47"/>
  <c r="CW56" i="47"/>
  <c r="BK25" i="47"/>
  <c r="HX25" i="47"/>
  <c r="HK25" i="47"/>
  <c r="I21" i="28"/>
  <c r="DV21" i="28"/>
  <c r="FI16" i="28"/>
  <c r="AX48" i="47"/>
  <c r="HV7" i="28"/>
  <c r="KW56" i="47"/>
  <c r="FW56" i="47"/>
  <c r="Y48" i="28"/>
  <c r="DL48" i="28"/>
  <c r="M6" i="69"/>
  <c r="J5" i="65"/>
  <c r="KX25" i="47"/>
  <c r="IX25" i="47"/>
  <c r="FV21" i="28"/>
  <c r="EV21" i="28"/>
  <c r="EK48" i="47"/>
  <c r="CI7" i="28"/>
  <c r="DW56" i="47"/>
  <c r="HW56" i="47"/>
  <c r="DY48" i="28"/>
  <c r="CY48" i="28"/>
  <c r="N6" i="69"/>
  <c r="M8" i="69"/>
  <c r="O6" i="69"/>
  <c r="AJ56" i="47"/>
  <c r="I5" i="69"/>
  <c r="BX25" i="47"/>
  <c r="AK25" i="47"/>
  <c r="FI21" i="28"/>
  <c r="II21" i="28"/>
  <c r="LK48" i="47"/>
  <c r="EI7" i="28"/>
  <c r="FI7" i="28"/>
  <c r="IJ56" i="47"/>
  <c r="FJ56" i="47"/>
  <c r="GJ56" i="47"/>
  <c r="M7" i="69"/>
  <c r="BY48" i="28"/>
  <c r="GL48" i="28"/>
  <c r="H7" i="69"/>
  <c r="N5" i="69"/>
  <c r="FY48" i="28"/>
  <c r="EX25" i="47"/>
  <c r="AI21" i="28"/>
  <c r="HK48" i="47"/>
  <c r="CV7" i="28"/>
  <c r="JW56" i="47"/>
  <c r="BJ56" i="47"/>
  <c r="IW41" i="47"/>
  <c r="T24" i="69"/>
  <c r="AA24" i="69" s="1"/>
  <c r="D48" i="28"/>
  <c r="AX48" i="28" s="1"/>
  <c r="D62" i="28"/>
  <c r="GX62" i="28" s="1"/>
  <c r="CY62" i="28"/>
  <c r="AL62" i="28"/>
  <c r="LL62" i="28"/>
  <c r="GL62" i="28"/>
  <c r="IY62" i="28"/>
  <c r="GY62" i="28"/>
  <c r="IL60" i="28"/>
  <c r="KY62" i="28"/>
  <c r="IL62" i="28"/>
  <c r="BY62" i="28"/>
  <c r="HY62" i="28"/>
  <c r="BL62" i="28"/>
  <c r="EY62" i="28"/>
  <c r="IY60" i="28"/>
  <c r="FY62" i="28"/>
  <c r="HL62" i="28"/>
  <c r="L62" i="28"/>
  <c r="JY62" i="28"/>
  <c r="DL62" i="28"/>
  <c r="DY62" i="28"/>
  <c r="JW50" i="28"/>
  <c r="B50" i="28"/>
  <c r="LI50" i="28" s="1"/>
  <c r="Y62" i="28"/>
  <c r="EL62" i="28"/>
  <c r="IW50" i="28"/>
  <c r="HW50" i="28"/>
  <c r="AY62" i="28"/>
  <c r="KL62" i="28"/>
  <c r="LW50" i="28"/>
  <c r="CJ50" i="28"/>
  <c r="J58" i="28"/>
  <c r="LY62" i="28"/>
  <c r="CL62" i="28"/>
  <c r="FL62" i="28"/>
  <c r="J7" i="65"/>
  <c r="AV14" i="28"/>
  <c r="IV53" i="47"/>
  <c r="II53" i="47"/>
  <c r="AI53" i="47"/>
  <c r="DI53" i="47"/>
  <c r="L6" i="66"/>
  <c r="AV6" i="66" s="1"/>
  <c r="CI38" i="47"/>
  <c r="EV38" i="47"/>
  <c r="DK8" i="28"/>
  <c r="CK8" i="28"/>
  <c r="AV53" i="28"/>
  <c r="II53" i="28"/>
  <c r="BW58" i="47"/>
  <c r="HW58" i="47"/>
  <c r="HJ69" i="28"/>
  <c r="GJ69" i="28"/>
  <c r="AV27" i="28"/>
  <c r="V27" i="28"/>
  <c r="EI38" i="47"/>
  <c r="FV38" i="47"/>
  <c r="K8" i="28"/>
  <c r="GK8" i="28"/>
  <c r="GV53" i="28"/>
  <c r="JI53" i="28"/>
  <c r="GW58" i="47"/>
  <c r="JJ58" i="47"/>
  <c r="EJ69" i="28"/>
  <c r="J69" i="28"/>
  <c r="IV27" i="28"/>
  <c r="JI27" i="28"/>
  <c r="V38" i="47"/>
  <c r="GV38" i="47"/>
  <c r="AK8" i="28"/>
  <c r="IX8" i="28"/>
  <c r="BI53" i="28"/>
  <c r="KI53" i="28"/>
  <c r="LW58" i="47"/>
  <c r="EW58" i="47"/>
  <c r="AW69" i="28"/>
  <c r="FW69" i="28"/>
  <c r="FV27" i="28"/>
  <c r="LV27" i="28"/>
  <c r="AV38" i="47"/>
  <c r="HI38" i="47"/>
  <c r="AX8" i="28"/>
  <c r="HK8" i="28"/>
  <c r="KV53" i="28"/>
  <c r="BV53" i="28"/>
  <c r="LI53" i="28"/>
  <c r="KW58" i="47"/>
  <c r="FJ58" i="47"/>
  <c r="KJ69" i="28"/>
  <c r="JJ69" i="28"/>
  <c r="GW69" i="28"/>
  <c r="HI27" i="28"/>
  <c r="BI27" i="28"/>
  <c r="EX8" i="28"/>
  <c r="KK8" i="28"/>
  <c r="JV53" i="28"/>
  <c r="FI53" i="28"/>
  <c r="LV53" i="28"/>
  <c r="LJ58" i="47"/>
  <c r="CJ58" i="47"/>
  <c r="DJ58" i="47"/>
  <c r="AJ69" i="28"/>
  <c r="IW69" i="28"/>
  <c r="DJ69" i="28"/>
  <c r="KI27" i="28"/>
  <c r="AI27" i="28"/>
  <c r="II38" i="47"/>
  <c r="CV38" i="47"/>
  <c r="IV38" i="47"/>
  <c r="BX8" i="28"/>
  <c r="GX8" i="28"/>
  <c r="I53" i="28"/>
  <c r="CI53" i="28"/>
  <c r="AW58" i="47"/>
  <c r="HJ58" i="47"/>
  <c r="KJ58" i="47"/>
  <c r="HW69" i="28"/>
  <c r="BJ69" i="28"/>
  <c r="CW69" i="28"/>
  <c r="LI27" i="28"/>
  <c r="DV27" i="28"/>
  <c r="BV38" i="47"/>
  <c r="DI38" i="47"/>
  <c r="JV38" i="47"/>
  <c r="FX8" i="28"/>
  <c r="HX8" i="28"/>
  <c r="DI53" i="28"/>
  <c r="CV53" i="28"/>
  <c r="JW58" i="47"/>
  <c r="IJ58" i="47"/>
  <c r="CW58" i="47"/>
  <c r="IJ69" i="28"/>
  <c r="BW69" i="28"/>
  <c r="CV27" i="28"/>
  <c r="EV27" i="28"/>
  <c r="FI38" i="47"/>
  <c r="KV38" i="47"/>
  <c r="EK8" i="28"/>
  <c r="IK8" i="28"/>
  <c r="V53" i="28"/>
  <c r="IV53" i="28"/>
  <c r="B58" i="47"/>
  <c r="KV58" i="47" s="1"/>
  <c r="AJ58" i="47"/>
  <c r="W69" i="28"/>
  <c r="B69" i="28"/>
  <c r="JI69" i="28" s="1"/>
  <c r="HV27" i="28"/>
  <c r="FI27" i="28"/>
  <c r="GI38" i="47"/>
  <c r="KI38" i="47"/>
  <c r="JX8" i="28"/>
  <c r="CX8" i="28"/>
  <c r="JK8" i="28"/>
  <c r="DV53" i="28"/>
  <c r="EI53" i="28"/>
  <c r="GJ58" i="47"/>
  <c r="EJ58" i="47"/>
  <c r="EW69" i="28"/>
  <c r="LJ69" i="28"/>
  <c r="BV27" i="28"/>
  <c r="JV27" i="28"/>
  <c r="EI27" i="28"/>
  <c r="KX8" i="28"/>
  <c r="LK8" i="28"/>
  <c r="AI53" i="28"/>
  <c r="HV53" i="28"/>
  <c r="BJ58" i="47"/>
  <c r="J58" i="47"/>
  <c r="KW69" i="28"/>
  <c r="FJ69" i="28"/>
  <c r="II27" i="28"/>
  <c r="DI27" i="28"/>
  <c r="KV27" i="28"/>
  <c r="FK8" i="28"/>
  <c r="BI38" i="47"/>
  <c r="JI38" i="47"/>
  <c r="LX8" i="28"/>
  <c r="EV53" i="28"/>
  <c r="W58" i="47"/>
  <c r="DW69" i="28"/>
  <c r="GV27" i="28"/>
  <c r="O7" i="68"/>
  <c r="K8" i="64"/>
  <c r="E40" i="26" s="1"/>
  <c r="H8" i="69"/>
  <c r="DV32" i="28"/>
  <c r="CI6" i="28"/>
  <c r="HV32" i="28"/>
  <c r="AX22" i="47"/>
  <c r="IK22" i="47"/>
  <c r="BX22" i="47"/>
  <c r="IX22" i="47"/>
  <c r="EK22" i="47"/>
  <c r="KX22" i="47"/>
  <c r="FK22" i="47"/>
  <c r="KK22" i="47"/>
  <c r="K22" i="47"/>
  <c r="DK22" i="47"/>
  <c r="DX22" i="47"/>
  <c r="LX22" i="47"/>
  <c r="GK22" i="47"/>
  <c r="LK22" i="47"/>
  <c r="CK22" i="47"/>
  <c r="EX22" i="47"/>
  <c r="BK22" i="47"/>
  <c r="AY62" i="47"/>
  <c r="AL62" i="47"/>
  <c r="EL62" i="47"/>
  <c r="CL62" i="47"/>
  <c r="LL62" i="47"/>
  <c r="Y62" i="47"/>
  <c r="J6" i="64"/>
  <c r="L6" i="64"/>
  <c r="AV6" i="64" s="1"/>
  <c r="AV29" i="28"/>
  <c r="IX24" i="28"/>
  <c r="LX24" i="28"/>
  <c r="AK20" i="28"/>
  <c r="FK20" i="28"/>
  <c r="II51" i="47"/>
  <c r="EV51" i="47"/>
  <c r="LV51" i="28"/>
  <c r="JI51" i="28"/>
  <c r="DI49" i="28"/>
  <c r="II49" i="28"/>
  <c r="KV49" i="28"/>
  <c r="AJ50" i="47"/>
  <c r="BJ50" i="47"/>
  <c r="K6" i="64"/>
  <c r="E38" i="26" s="1"/>
  <c r="GW60" i="28"/>
  <c r="H5" i="68"/>
  <c r="O6" i="68"/>
  <c r="GI29" i="28"/>
  <c r="K24" i="28"/>
  <c r="GX24" i="28"/>
  <c r="KK24" i="28"/>
  <c r="BX20" i="28"/>
  <c r="FX20" i="28"/>
  <c r="BV51" i="47"/>
  <c r="BI51" i="47"/>
  <c r="HV51" i="47"/>
  <c r="AV51" i="28"/>
  <c r="CI51" i="28"/>
  <c r="EV49" i="28"/>
  <c r="LI49" i="28"/>
  <c r="IJ50" i="47"/>
  <c r="FJ50" i="47"/>
  <c r="L8" i="64"/>
  <c r="AV8" i="64" s="1"/>
  <c r="I8" i="68"/>
  <c r="I5" i="68"/>
  <c r="GK20" i="28"/>
  <c r="FV51" i="47"/>
  <c r="GI51" i="47"/>
  <c r="LI51" i="47"/>
  <c r="GI51" i="28"/>
  <c r="DV51" i="28"/>
  <c r="LV49" i="28"/>
  <c r="HV49" i="28"/>
  <c r="B50" i="47"/>
  <c r="V50" i="47" s="1"/>
  <c r="KW50" i="47"/>
  <c r="EW50" i="47"/>
  <c r="M8" i="68"/>
  <c r="O5" i="68"/>
  <c r="M5" i="68"/>
  <c r="LK24" i="28"/>
  <c r="AX24" i="28"/>
  <c r="CK24" i="28"/>
  <c r="DX20" i="28"/>
  <c r="HK20" i="28"/>
  <c r="KV51" i="47"/>
  <c r="JI51" i="47"/>
  <c r="GV51" i="28"/>
  <c r="KI51" i="28"/>
  <c r="GI49" i="28"/>
  <c r="AI49" i="28"/>
  <c r="GW50" i="47"/>
  <c r="CJ50" i="47"/>
  <c r="CW50" i="47"/>
  <c r="H6" i="68"/>
  <c r="EX20" i="28"/>
  <c r="CV51" i="47"/>
  <c r="CI51" i="47"/>
  <c r="AI51" i="28"/>
  <c r="DI51" i="28"/>
  <c r="EI49" i="28"/>
  <c r="BV49" i="28"/>
  <c r="AW50" i="47"/>
  <c r="DJ50" i="47"/>
  <c r="HW50" i="47"/>
  <c r="H8" i="68"/>
  <c r="HX20" i="28"/>
  <c r="DI51" i="47"/>
  <c r="HI51" i="47"/>
  <c r="I51" i="28"/>
  <c r="HI51" i="28"/>
  <c r="EV51" i="28"/>
  <c r="KI49" i="28"/>
  <c r="IV49" i="28"/>
  <c r="LW50" i="47"/>
  <c r="J50" i="47"/>
  <c r="M6" i="68"/>
  <c r="K6" i="68" s="1"/>
  <c r="DK24" i="28"/>
  <c r="FX24" i="28"/>
  <c r="GK24" i="28"/>
  <c r="IX20" i="28"/>
  <c r="IV51" i="47"/>
  <c r="LV51" i="47"/>
  <c r="EI51" i="28"/>
  <c r="HV51" i="28"/>
  <c r="JV51" i="28"/>
  <c r="V49" i="28"/>
  <c r="HI49" i="28"/>
  <c r="HJ50" i="47"/>
  <c r="LJ50" i="47"/>
  <c r="Z22" i="68"/>
  <c r="N8" i="68"/>
  <c r="X24" i="28"/>
  <c r="CX20" i="28"/>
  <c r="EK24" i="28"/>
  <c r="JK20" i="28"/>
  <c r="BX24" i="28"/>
  <c r="JX20" i="28"/>
  <c r="CX24" i="28"/>
  <c r="HK24" i="28"/>
  <c r="BK20" i="28"/>
  <c r="KX20" i="28"/>
  <c r="I51" i="47"/>
  <c r="V51" i="47"/>
  <c r="LI51" i="28"/>
  <c r="BI51" i="28"/>
  <c r="FI49" i="28"/>
  <c r="CV49" i="28"/>
  <c r="GJ50" i="47"/>
  <c r="JJ50" i="47"/>
  <c r="H7" i="68"/>
  <c r="T22" i="68"/>
  <c r="V22" i="68" s="1"/>
  <c r="N5" i="68"/>
  <c r="L5" i="66"/>
  <c r="AV5" i="66" s="1"/>
  <c r="IK20" i="28"/>
  <c r="IK24" i="28"/>
  <c r="CK20" i="28"/>
  <c r="EI51" i="47"/>
  <c r="DV51" i="47"/>
  <c r="KV51" i="28"/>
  <c r="BV51" i="28"/>
  <c r="FV49" i="28"/>
  <c r="JV49" i="28"/>
  <c r="W50" i="47"/>
  <c r="BW50" i="47"/>
  <c r="Z28" i="68"/>
  <c r="O8" i="68"/>
  <c r="LV29" i="28"/>
  <c r="BK24" i="28"/>
  <c r="LX20" i="28"/>
  <c r="DK20" i="28"/>
  <c r="JV51" i="47"/>
  <c r="GV51" i="47"/>
  <c r="V51" i="28"/>
  <c r="IV51" i="28"/>
  <c r="AV49" i="28"/>
  <c r="I49" i="28"/>
  <c r="DW50" i="47"/>
  <c r="JW50" i="47"/>
  <c r="C76" i="47"/>
  <c r="IW76" i="47" s="1"/>
  <c r="N7" i="68"/>
  <c r="I6" i="68"/>
  <c r="AK24" i="28"/>
  <c r="DX24" i="28"/>
  <c r="EX24" i="28"/>
  <c r="JK24" i="28"/>
  <c r="X20" i="28"/>
  <c r="KK20" i="28"/>
  <c r="FK24" i="28"/>
  <c r="AX20" i="28"/>
  <c r="EK20" i="28"/>
  <c r="AI51" i="47"/>
  <c r="FI51" i="28"/>
  <c r="JI49" i="28"/>
  <c r="FW50" i="47"/>
  <c r="C76" i="28"/>
  <c r="HW76" i="28" s="1"/>
  <c r="M7" i="68"/>
  <c r="L5" i="64"/>
  <c r="AV5" i="64" s="1"/>
  <c r="IX48" i="47"/>
  <c r="JX48" i="47"/>
  <c r="EX48" i="47"/>
  <c r="K48" i="47"/>
  <c r="AA33" i="65"/>
  <c r="DX48" i="47"/>
  <c r="IK48" i="47"/>
  <c r="AA27" i="65"/>
  <c r="JK48" i="47"/>
  <c r="GK48" i="47"/>
  <c r="U27" i="65"/>
  <c r="HX48" i="47"/>
  <c r="X48" i="47"/>
  <c r="KK48" i="47"/>
  <c r="BK48" i="47"/>
  <c r="CX48" i="47"/>
  <c r="GX48" i="47"/>
  <c r="IX23" i="28"/>
  <c r="FX48" i="47"/>
  <c r="LX48" i="47"/>
  <c r="KX48" i="47"/>
  <c r="AK48" i="47"/>
  <c r="CK48" i="47"/>
  <c r="FK48" i="47"/>
  <c r="CK35" i="47"/>
  <c r="IX35" i="47"/>
  <c r="BJ17" i="28"/>
  <c r="KX35" i="47"/>
  <c r="IK35" i="47"/>
  <c r="JX35" i="47"/>
  <c r="IJ17" i="28"/>
  <c r="DX35" i="47"/>
  <c r="EX35" i="47"/>
  <c r="JK35" i="47"/>
  <c r="FX35" i="47"/>
  <c r="KK35" i="47"/>
  <c r="AX35" i="47"/>
  <c r="EK35" i="47"/>
  <c r="LX35" i="47"/>
  <c r="BX35" i="47"/>
  <c r="FK35" i="47"/>
  <c r="CX35" i="47"/>
  <c r="GK35" i="47"/>
  <c r="K35" i="47"/>
  <c r="HK35" i="47"/>
  <c r="AK35" i="47"/>
  <c r="GX35" i="47"/>
  <c r="BK35" i="47"/>
  <c r="FJ17" i="28"/>
  <c r="LX17" i="28"/>
  <c r="HX17" i="28"/>
  <c r="K5" i="66"/>
  <c r="E52" i="26" s="1"/>
  <c r="KK27" i="28"/>
  <c r="GW46" i="28"/>
  <c r="GK27" i="28"/>
  <c r="W60" i="28"/>
  <c r="KI15" i="47"/>
  <c r="BW60" i="28"/>
  <c r="BV15" i="47"/>
  <c r="HJ60" i="28"/>
  <c r="FV15" i="47"/>
  <c r="KW60" i="28"/>
  <c r="N8" i="69"/>
  <c r="I7" i="69"/>
  <c r="AV15" i="47"/>
  <c r="O5" i="69"/>
  <c r="GK28" i="47"/>
  <c r="FJ60" i="28"/>
  <c r="K5" i="64"/>
  <c r="E37" i="26" s="1"/>
  <c r="HK43" i="47"/>
  <c r="DJ60" i="28"/>
  <c r="LK43" i="47"/>
  <c r="Y39" i="28"/>
  <c r="HX27" i="28"/>
  <c r="BY39" i="28"/>
  <c r="JW46" i="28"/>
  <c r="BX28" i="47"/>
  <c r="X28" i="47"/>
  <c r="HV15" i="47"/>
  <c r="JV15" i="47"/>
  <c r="CW60" i="28"/>
  <c r="HW60" i="28"/>
  <c r="CW46" i="28"/>
  <c r="FK28" i="47"/>
  <c r="HK28" i="47"/>
  <c r="GV15" i="47"/>
  <c r="BI15" i="47"/>
  <c r="JJ60" i="28"/>
  <c r="DW60" i="28"/>
  <c r="EJ46" i="28"/>
  <c r="EX28" i="47"/>
  <c r="JK28" i="47"/>
  <c r="IV15" i="47"/>
  <c r="II15" i="47"/>
  <c r="GJ60" i="28"/>
  <c r="AW60" i="28"/>
  <c r="AJ46" i="28"/>
  <c r="IJ46" i="28"/>
  <c r="FX28" i="47"/>
  <c r="KX28" i="47"/>
  <c r="V15" i="47"/>
  <c r="JI15" i="47"/>
  <c r="LJ60" i="28"/>
  <c r="FW60" i="28"/>
  <c r="LJ46" i="28"/>
  <c r="IJ60" i="28"/>
  <c r="LW46" i="28"/>
  <c r="AK28" i="47"/>
  <c r="EK28" i="47"/>
  <c r="GX28" i="47"/>
  <c r="AI15" i="47"/>
  <c r="LI15" i="47"/>
  <c r="HI15" i="47"/>
  <c r="B60" i="28"/>
  <c r="II60" i="28" s="1"/>
  <c r="EW60" i="28"/>
  <c r="FJ46" i="28"/>
  <c r="IK28" i="47"/>
  <c r="HX28" i="47"/>
  <c r="LK28" i="47"/>
  <c r="GI15" i="47"/>
  <c r="CV15" i="47"/>
  <c r="KV15" i="47"/>
  <c r="JW60" i="28"/>
  <c r="EJ60" i="28"/>
  <c r="AW46" i="28"/>
  <c r="BJ46" i="28"/>
  <c r="CK28" i="47"/>
  <c r="LX28" i="47"/>
  <c r="DV15" i="47"/>
  <c r="EV15" i="47"/>
  <c r="BJ60" i="28"/>
  <c r="IW60" i="28"/>
  <c r="GJ46" i="28"/>
  <c r="DJ46" i="28"/>
  <c r="J7" i="66"/>
  <c r="JX28" i="47"/>
  <c r="LV15" i="47"/>
  <c r="GJ17" i="47"/>
  <c r="J60" i="28"/>
  <c r="CJ60" i="28"/>
  <c r="HJ46" i="28"/>
  <c r="FW46" i="28"/>
  <c r="LW17" i="47"/>
  <c r="KJ60" i="28"/>
  <c r="AJ60" i="28"/>
  <c r="JJ46" i="28"/>
  <c r="KJ46" i="28"/>
  <c r="J5" i="64"/>
  <c r="GV6" i="28"/>
  <c r="CL60" i="28"/>
  <c r="AI6" i="28"/>
  <c r="II27" i="47"/>
  <c r="AA22" i="64"/>
  <c r="FI6" i="28"/>
  <c r="DI27" i="47"/>
  <c r="EI6" i="28"/>
  <c r="GI13" i="28"/>
  <c r="AA29" i="65"/>
  <c r="IV6" i="28"/>
  <c r="U23" i="65"/>
  <c r="I6" i="28"/>
  <c r="V23" i="65"/>
  <c r="DV6" i="28"/>
  <c r="K5" i="65"/>
  <c r="E42" i="26" s="1"/>
  <c r="K7" i="64"/>
  <c r="E39" i="26" s="1"/>
  <c r="GI6" i="28"/>
  <c r="HI6" i="28"/>
  <c r="FJ50" i="28"/>
  <c r="BW50" i="28"/>
  <c r="HJ58" i="28"/>
  <c r="IJ58" i="28"/>
  <c r="FL60" i="28"/>
  <c r="BY60" i="28"/>
  <c r="DI6" i="28"/>
  <c r="EV6" i="28"/>
  <c r="KV6" i="28"/>
  <c r="JY60" i="28"/>
  <c r="E45" i="26"/>
  <c r="J8" i="65"/>
  <c r="BV6" i="28"/>
  <c r="LI6" i="28"/>
  <c r="LV6" i="28"/>
  <c r="KL60" i="28"/>
  <c r="LY60" i="28"/>
  <c r="II6" i="28"/>
  <c r="HV6" i="28"/>
  <c r="EY60" i="28"/>
  <c r="HL60" i="28"/>
  <c r="V6" i="28"/>
  <c r="AV6" i="28"/>
  <c r="EJ50" i="28"/>
  <c r="KW50" i="28"/>
  <c r="GW50" i="28"/>
  <c r="BW58" i="28"/>
  <c r="FW58" i="28"/>
  <c r="GY60" i="28"/>
  <c r="BL60" i="28"/>
  <c r="JL60" i="28"/>
  <c r="EL60" i="28"/>
  <c r="AY60" i="28"/>
  <c r="HY60" i="28"/>
  <c r="DY60" i="28"/>
  <c r="GL60" i="28"/>
  <c r="AL60" i="28"/>
  <c r="JI6" i="28"/>
  <c r="BI6" i="28"/>
  <c r="KY60" i="28"/>
  <c r="LL60" i="28"/>
  <c r="Y60" i="28"/>
  <c r="IX29" i="28"/>
  <c r="CV6" i="28"/>
  <c r="FV6" i="28"/>
  <c r="CW50" i="28"/>
  <c r="JJ50" i="28"/>
  <c r="KJ58" i="28"/>
  <c r="DL60" i="28"/>
  <c r="L60" i="28"/>
  <c r="FX29" i="28"/>
  <c r="KI6" i="28"/>
  <c r="EW50" i="28"/>
  <c r="CY60" i="28"/>
  <c r="D60" i="28"/>
  <c r="JK60" i="28" s="1"/>
  <c r="L7" i="65"/>
  <c r="AV7" i="65" s="1"/>
  <c r="BI14" i="28"/>
  <c r="L8" i="65"/>
  <c r="AV8" i="65" s="1"/>
  <c r="GI14" i="28"/>
  <c r="AA31" i="65"/>
  <c r="J7" i="64"/>
  <c r="GW36" i="28"/>
  <c r="AA25" i="65"/>
  <c r="BL39" i="47"/>
  <c r="JW36" i="28"/>
  <c r="JY39" i="47"/>
  <c r="V25" i="65"/>
  <c r="KK43" i="47"/>
  <c r="LX43" i="47"/>
  <c r="KX27" i="28"/>
  <c r="AK27" i="28"/>
  <c r="HY39" i="28"/>
  <c r="FY39" i="28"/>
  <c r="L56" i="28"/>
  <c r="KY56" i="28"/>
  <c r="BX43" i="47"/>
  <c r="CK43" i="47"/>
  <c r="K27" i="28"/>
  <c r="BK27" i="28"/>
  <c r="EL39" i="28"/>
  <c r="DL39" i="28"/>
  <c r="LY39" i="28"/>
  <c r="FY56" i="28"/>
  <c r="HY56" i="28"/>
  <c r="GX43" i="47"/>
  <c r="DK43" i="47"/>
  <c r="BX27" i="28"/>
  <c r="IX27" i="28"/>
  <c r="JY39" i="28"/>
  <c r="AY39" i="28"/>
  <c r="KY39" i="28"/>
  <c r="DL56" i="28"/>
  <c r="AL56" i="28"/>
  <c r="KX43" i="47"/>
  <c r="JK43" i="47"/>
  <c r="GX27" i="28"/>
  <c r="CK27" i="28"/>
  <c r="IL39" i="28"/>
  <c r="JL39" i="28"/>
  <c r="Y56" i="28"/>
  <c r="CY56" i="28"/>
  <c r="K7" i="65"/>
  <c r="E44" i="26" s="1"/>
  <c r="FK43" i="47"/>
  <c r="BK43" i="47"/>
  <c r="LK27" i="28"/>
  <c r="DX27" i="28"/>
  <c r="LL39" i="28"/>
  <c r="GL39" i="28"/>
  <c r="JL56" i="28"/>
  <c r="DY56" i="28"/>
  <c r="GK43" i="47"/>
  <c r="AK43" i="47"/>
  <c r="DX43" i="47"/>
  <c r="AX27" i="28"/>
  <c r="JK27" i="28"/>
  <c r="DY39" i="28"/>
  <c r="BL39" i="28"/>
  <c r="HL56" i="28"/>
  <c r="EY56" i="28"/>
  <c r="V24" i="64"/>
  <c r="U23" i="71"/>
  <c r="X43" i="47"/>
  <c r="CX43" i="47"/>
  <c r="IK43" i="47"/>
  <c r="EK27" i="28"/>
  <c r="EX27" i="28"/>
  <c r="CY39" i="28"/>
  <c r="GY39" i="28"/>
  <c r="EL56" i="28"/>
  <c r="IY56" i="28"/>
  <c r="AA24" i="64"/>
  <c r="V23" i="71"/>
  <c r="FX43" i="47"/>
  <c r="HX43" i="47"/>
  <c r="DK27" i="28"/>
  <c r="IK27" i="28"/>
  <c r="FX27" i="28"/>
  <c r="HL39" i="28"/>
  <c r="IY39" i="28"/>
  <c r="BL56" i="28"/>
  <c r="AY56" i="28"/>
  <c r="D56" i="28"/>
  <c r="LK56" i="28" s="1"/>
  <c r="AA23" i="71"/>
  <c r="EX43" i="47"/>
  <c r="K43" i="47"/>
  <c r="HK27" i="28"/>
  <c r="X27" i="28"/>
  <c r="FL39" i="28"/>
  <c r="EY39" i="28"/>
  <c r="GL56" i="28"/>
  <c r="FL56" i="28"/>
  <c r="JY56" i="28"/>
  <c r="L7" i="64"/>
  <c r="AV7" i="64" s="1"/>
  <c r="AX43" i="47"/>
  <c r="EK43" i="47"/>
  <c r="FK27" i="28"/>
  <c r="CX27" i="28"/>
  <c r="KL39" i="28"/>
  <c r="L39" i="28"/>
  <c r="CL56" i="28"/>
  <c r="GY56" i="28"/>
  <c r="JX43" i="47"/>
  <c r="JX27" i="28"/>
  <c r="AL39" i="28"/>
  <c r="CL39" i="28"/>
  <c r="BY56" i="28"/>
  <c r="U24" i="64"/>
  <c r="HJ17" i="28"/>
  <c r="GW17" i="28"/>
  <c r="FW17" i="28"/>
  <c r="B17" i="28"/>
  <c r="IW17" i="28"/>
  <c r="AJ17" i="28"/>
  <c r="KJ17" i="28"/>
  <c r="LW17" i="28"/>
  <c r="EJ17" i="28"/>
  <c r="LJ17" i="28"/>
  <c r="DW17" i="28"/>
  <c r="BW17" i="28"/>
  <c r="CJ17" i="28"/>
  <c r="HW17" i="28"/>
  <c r="CW17" i="28"/>
  <c r="DJ17" i="28"/>
  <c r="GJ17" i="28"/>
  <c r="KW17" i="28"/>
  <c r="KJ41" i="47"/>
  <c r="DX10" i="28"/>
  <c r="DK10" i="28"/>
  <c r="X10" i="28"/>
  <c r="GX11" i="47"/>
  <c r="KK10" i="28"/>
  <c r="KX11" i="47"/>
  <c r="LK11" i="47"/>
  <c r="JV13" i="28"/>
  <c r="U22" i="64"/>
  <c r="JX65" i="47"/>
  <c r="JK65" i="47"/>
  <c r="HX65" i="47"/>
  <c r="EX65" i="47"/>
  <c r="CX65" i="47"/>
  <c r="X65" i="47"/>
  <c r="HK65" i="47"/>
  <c r="IK65" i="47"/>
  <c r="BK65" i="47"/>
  <c r="DX65" i="47"/>
  <c r="IX65" i="47"/>
  <c r="CK65" i="47"/>
  <c r="KX65" i="47"/>
  <c r="GX65" i="47"/>
  <c r="LX65" i="47"/>
  <c r="LK65" i="47"/>
  <c r="BX65" i="47"/>
  <c r="AK65" i="47"/>
  <c r="DK65" i="47"/>
  <c r="KK65" i="47"/>
  <c r="K65" i="47"/>
  <c r="FX65" i="47"/>
  <c r="GK65" i="47"/>
  <c r="AX65" i="47"/>
  <c r="EK65" i="47"/>
  <c r="FK65" i="47"/>
  <c r="BK10" i="28"/>
  <c r="EX10" i="28"/>
  <c r="HX10" i="28"/>
  <c r="EK10" i="28"/>
  <c r="K10" i="28"/>
  <c r="HK10" i="28"/>
  <c r="FK29" i="28"/>
  <c r="IK10" i="28"/>
  <c r="CX10" i="28"/>
  <c r="DX29" i="28"/>
  <c r="CK10" i="28"/>
  <c r="LK10" i="28"/>
  <c r="LL45" i="28"/>
  <c r="JK10" i="28"/>
  <c r="JX10" i="28"/>
  <c r="AX10" i="28"/>
  <c r="FX10" i="28"/>
  <c r="KX10" i="28"/>
  <c r="FK10" i="28"/>
  <c r="GK10" i="28"/>
  <c r="LX10" i="28"/>
  <c r="GX10" i="28"/>
  <c r="IX10" i="28"/>
  <c r="BX10" i="28"/>
  <c r="K7" i="72"/>
  <c r="E29" i="26" s="1"/>
  <c r="HW64" i="28"/>
  <c r="J64" i="28"/>
  <c r="LJ64" i="28"/>
  <c r="FJ64" i="28"/>
  <c r="DW64" i="28"/>
  <c r="LW64" i="28"/>
  <c r="CW64" i="28"/>
  <c r="JJ64" i="28"/>
  <c r="W64" i="28"/>
  <c r="B64" i="28"/>
  <c r="AW64" i="28"/>
  <c r="EJ64" i="28"/>
  <c r="IW64" i="28"/>
  <c r="FW64" i="28"/>
  <c r="JW64" i="28"/>
  <c r="DJ64" i="28"/>
  <c r="BJ64" i="28"/>
  <c r="EW64" i="28"/>
  <c r="BW64" i="28"/>
  <c r="GJ64" i="28"/>
  <c r="KW64" i="28"/>
  <c r="IJ64" i="28"/>
  <c r="KJ64" i="28"/>
  <c r="AJ64" i="28"/>
  <c r="GW64" i="28"/>
  <c r="CJ64" i="28"/>
  <c r="HJ64" i="28"/>
  <c r="JL66" i="28"/>
  <c r="DY66" i="28"/>
  <c r="LY66" i="28"/>
  <c r="KY66" i="28"/>
  <c r="AY66" i="28"/>
  <c r="GL66" i="28"/>
  <c r="GY66" i="28"/>
  <c r="EY66" i="28"/>
  <c r="AL66" i="28"/>
  <c r="IL66" i="28"/>
  <c r="HY66" i="28"/>
  <c r="HL66" i="28"/>
  <c r="EL66" i="28"/>
  <c r="Y66" i="28"/>
  <c r="IY66" i="28"/>
  <c r="KL66" i="28"/>
  <c r="DL66" i="28"/>
  <c r="LL66" i="28"/>
  <c r="CY66" i="28"/>
  <c r="FY66" i="28"/>
  <c r="CL66" i="28"/>
  <c r="D66" i="28"/>
  <c r="FL66" i="28"/>
  <c r="BY66" i="28"/>
  <c r="JY66" i="28"/>
  <c r="BL66" i="28"/>
  <c r="L66" i="28"/>
  <c r="V26" i="69"/>
  <c r="U26" i="69"/>
  <c r="AA32" i="69"/>
  <c r="AA26" i="69"/>
  <c r="K6" i="65"/>
  <c r="E43" i="26" s="1"/>
  <c r="IY66" i="47"/>
  <c r="AY66" i="47"/>
  <c r="GL66" i="47"/>
  <c r="FL66" i="47"/>
  <c r="FY66" i="47"/>
  <c r="DY66" i="47"/>
  <c r="DL66" i="47"/>
  <c r="Y66" i="47"/>
  <c r="IL66" i="47"/>
  <c r="JY66" i="47"/>
  <c r="KY66" i="47"/>
  <c r="L66" i="47"/>
  <c r="AL66" i="47"/>
  <c r="LL66" i="47"/>
  <c r="EY66" i="47"/>
  <c r="CY66" i="47"/>
  <c r="D66" i="47"/>
  <c r="HY66" i="47"/>
  <c r="CL66" i="47"/>
  <c r="GY66" i="47"/>
  <c r="BY66" i="47"/>
  <c r="EL66" i="47"/>
  <c r="BL66" i="47"/>
  <c r="LY66" i="47"/>
  <c r="JL66" i="47"/>
  <c r="KL66" i="47"/>
  <c r="HL66" i="47"/>
  <c r="GW67" i="28"/>
  <c r="W67" i="28"/>
  <c r="BJ67" i="28"/>
  <c r="CJ67" i="28"/>
  <c r="LJ67" i="28"/>
  <c r="CW67" i="28"/>
  <c r="J67" i="28"/>
  <c r="IW67" i="28"/>
  <c r="FW67" i="28"/>
  <c r="B67" i="28"/>
  <c r="IJ67" i="28"/>
  <c r="EJ67" i="28"/>
  <c r="LW67" i="28"/>
  <c r="BW67" i="28"/>
  <c r="HW67" i="28"/>
  <c r="AJ67" i="28"/>
  <c r="JW67" i="28"/>
  <c r="HJ67" i="28"/>
  <c r="DJ67" i="28"/>
  <c r="KW67" i="28"/>
  <c r="EW67" i="28"/>
  <c r="KJ67" i="28"/>
  <c r="GJ67" i="28"/>
  <c r="AW67" i="28"/>
  <c r="DW67" i="28"/>
  <c r="JJ67" i="28"/>
  <c r="FJ67" i="28"/>
  <c r="IJ67" i="47"/>
  <c r="AW67" i="47"/>
  <c r="B67" i="47"/>
  <c r="HW67" i="47"/>
  <c r="AJ67" i="47"/>
  <c r="FW67" i="47"/>
  <c r="W67" i="47"/>
  <c r="FJ67" i="47"/>
  <c r="CJ67" i="47"/>
  <c r="JJ67" i="47"/>
  <c r="KJ67" i="47"/>
  <c r="J67" i="47"/>
  <c r="JW67" i="47"/>
  <c r="EW67" i="47"/>
  <c r="GW67" i="47"/>
  <c r="LJ67" i="47"/>
  <c r="DW67" i="47"/>
  <c r="LW67" i="47"/>
  <c r="IW67" i="47"/>
  <c r="HJ67" i="47"/>
  <c r="CW67" i="47"/>
  <c r="GJ67" i="47"/>
  <c r="DJ67" i="47"/>
  <c r="KW67" i="47"/>
  <c r="EJ67" i="47"/>
  <c r="BJ67" i="47"/>
  <c r="BW67" i="47"/>
  <c r="LW64" i="47"/>
  <c r="FW64" i="47"/>
  <c r="KJ64" i="47"/>
  <c r="AJ64" i="47"/>
  <c r="GW64" i="47"/>
  <c r="JJ64" i="47"/>
  <c r="BW64" i="47"/>
  <c r="GJ64" i="47"/>
  <c r="EW64" i="47"/>
  <c r="HJ64" i="47"/>
  <c r="IW64" i="47"/>
  <c r="DW64" i="47"/>
  <c r="B64" i="47"/>
  <c r="IJ64" i="47"/>
  <c r="AW64" i="47"/>
  <c r="EJ64" i="47"/>
  <c r="JW64" i="47"/>
  <c r="BJ64" i="47"/>
  <c r="FJ64" i="47"/>
  <c r="W64" i="47"/>
  <c r="CW64" i="47"/>
  <c r="LJ64" i="47"/>
  <c r="J64" i="47"/>
  <c r="HW64" i="47"/>
  <c r="CJ64" i="47"/>
  <c r="DJ64" i="47"/>
  <c r="KW64" i="47"/>
  <c r="FV32" i="28"/>
  <c r="JV32" i="28"/>
  <c r="IX11" i="47"/>
  <c r="BK11" i="47"/>
  <c r="FV13" i="28"/>
  <c r="II13" i="28"/>
  <c r="AI13" i="28"/>
  <c r="EK52" i="47"/>
  <c r="HX52" i="47"/>
  <c r="IJ42" i="28"/>
  <c r="B42" i="28"/>
  <c r="IV42" i="28" s="1"/>
  <c r="KV27" i="47"/>
  <c r="HI27" i="47"/>
  <c r="I32" i="28"/>
  <c r="CI32" i="28"/>
  <c r="LV32" i="28"/>
  <c r="BX11" i="47"/>
  <c r="FK11" i="47"/>
  <c r="I13" i="28"/>
  <c r="BV13" i="28"/>
  <c r="LV13" i="28"/>
  <c r="CX52" i="47"/>
  <c r="HK52" i="47"/>
  <c r="IW42" i="28"/>
  <c r="JW42" i="28"/>
  <c r="AV27" i="47"/>
  <c r="JV27" i="47"/>
  <c r="D45" i="28"/>
  <c r="GK45" i="28" s="1"/>
  <c r="V32" i="28"/>
  <c r="EV32" i="28"/>
  <c r="KV32" i="28"/>
  <c r="HX11" i="47"/>
  <c r="IK11" i="47"/>
  <c r="EV13" i="28"/>
  <c r="LI13" i="28"/>
  <c r="AK52" i="47"/>
  <c r="LK52" i="47"/>
  <c r="W42" i="28"/>
  <c r="KJ42" i="28"/>
  <c r="DV27" i="47"/>
  <c r="BV27" i="47"/>
  <c r="BV32" i="28"/>
  <c r="GV32" i="28"/>
  <c r="JX11" i="47"/>
  <c r="CK11" i="47"/>
  <c r="IV13" i="28"/>
  <c r="HV13" i="28"/>
  <c r="K52" i="47"/>
  <c r="LX52" i="47"/>
  <c r="BJ42" i="28"/>
  <c r="FJ42" i="28"/>
  <c r="GI27" i="47"/>
  <c r="EI27" i="47"/>
  <c r="AV32" i="28"/>
  <c r="II32" i="28"/>
  <c r="K11" i="47"/>
  <c r="DX11" i="47"/>
  <c r="HI13" i="28"/>
  <c r="CI13" i="28"/>
  <c r="GX52" i="47"/>
  <c r="AX52" i="47"/>
  <c r="JX52" i="47"/>
  <c r="JJ42" i="28"/>
  <c r="FW42" i="28"/>
  <c r="LV27" i="47"/>
  <c r="GV27" i="47"/>
  <c r="DI32" i="28"/>
  <c r="IV32" i="28"/>
  <c r="CX11" i="47"/>
  <c r="JK11" i="47"/>
  <c r="AV13" i="28"/>
  <c r="KV13" i="28"/>
  <c r="IX52" i="47"/>
  <c r="EX52" i="47"/>
  <c r="KX52" i="47"/>
  <c r="EW42" i="28"/>
  <c r="GJ42" i="28"/>
  <c r="LI27" i="47"/>
  <c r="I27" i="47"/>
  <c r="FI32" i="28"/>
  <c r="JI32" i="28"/>
  <c r="GK11" i="47"/>
  <c r="DK11" i="47"/>
  <c r="DI13" i="28"/>
  <c r="JI13" i="28"/>
  <c r="GK52" i="47"/>
  <c r="X52" i="47"/>
  <c r="LW42" i="28"/>
  <c r="DW42" i="28"/>
  <c r="AI27" i="47"/>
  <c r="JI27" i="47"/>
  <c r="FI27" i="47"/>
  <c r="L6" i="65"/>
  <c r="AV6" i="65" s="1"/>
  <c r="AA28" i="64"/>
  <c r="AI32" i="28"/>
  <c r="KI32" i="28"/>
  <c r="LX11" i="47"/>
  <c r="EX11" i="47"/>
  <c r="KI13" i="28"/>
  <c r="EI13" i="28"/>
  <c r="IK52" i="47"/>
  <c r="DK52" i="47"/>
  <c r="AW42" i="28"/>
  <c r="AJ42" i="28"/>
  <c r="KI27" i="47"/>
  <c r="FV27" i="47"/>
  <c r="HV27" i="47"/>
  <c r="EI32" i="28"/>
  <c r="GI32" i="28"/>
  <c r="AK11" i="47"/>
  <c r="KK11" i="47"/>
  <c r="GV13" i="28"/>
  <c r="FI13" i="28"/>
  <c r="CK52" i="47"/>
  <c r="BK52" i="47"/>
  <c r="KW42" i="28"/>
  <c r="EJ42" i="28"/>
  <c r="BI27" i="47"/>
  <c r="EV27" i="47"/>
  <c r="CV32" i="28"/>
  <c r="HI32" i="28"/>
  <c r="EK11" i="47"/>
  <c r="X11" i="47"/>
  <c r="BI13" i="28"/>
  <c r="V13" i="28"/>
  <c r="DX52" i="47"/>
  <c r="FX52" i="47"/>
  <c r="CW42" i="28"/>
  <c r="DJ42" i="28"/>
  <c r="LJ42" i="28"/>
  <c r="V27" i="47"/>
  <c r="IV27" i="47"/>
  <c r="BI32" i="28"/>
  <c r="AX11" i="47"/>
  <c r="HK11" i="47"/>
  <c r="DV13" i="28"/>
  <c r="KK52" i="47"/>
  <c r="HJ42" i="28"/>
  <c r="BW42" i="28"/>
  <c r="CI27" i="47"/>
  <c r="CX29" i="28"/>
  <c r="EX29" i="28"/>
  <c r="FY45" i="28"/>
  <c r="LK29" i="28"/>
  <c r="DK29" i="28"/>
  <c r="BK29" i="28"/>
  <c r="CY45" i="28"/>
  <c r="GX29" i="28"/>
  <c r="BX29" i="28"/>
  <c r="CL45" i="28"/>
  <c r="BK46" i="47"/>
  <c r="X29" i="28"/>
  <c r="CK29" i="28"/>
  <c r="EL45" i="28"/>
  <c r="FX46" i="47"/>
  <c r="IK29" i="28"/>
  <c r="HX29" i="28"/>
  <c r="JY45" i="28"/>
  <c r="JL45" i="28"/>
  <c r="BW16" i="47"/>
  <c r="K29" i="28"/>
  <c r="JX29" i="28"/>
  <c r="EY45" i="28"/>
  <c r="AL45" i="28"/>
  <c r="KJ16" i="47"/>
  <c r="AK29" i="28"/>
  <c r="GK29" i="28"/>
  <c r="HY45" i="28"/>
  <c r="DY45" i="28"/>
  <c r="J16" i="47"/>
  <c r="IL45" i="28"/>
  <c r="LX29" i="28"/>
  <c r="HK29" i="28"/>
  <c r="JK29" i="28"/>
  <c r="AY45" i="28"/>
  <c r="KY45" i="28"/>
  <c r="IJ16" i="47"/>
  <c r="DL45" i="28"/>
  <c r="KX29" i="28"/>
  <c r="AX29" i="28"/>
  <c r="KK29" i="28"/>
  <c r="Y45" i="28"/>
  <c r="KW16" i="47"/>
  <c r="L45" i="28"/>
  <c r="GL45" i="28"/>
  <c r="L5" i="65"/>
  <c r="AV5" i="65" s="1"/>
  <c r="KW46" i="28"/>
  <c r="EW46" i="28"/>
  <c r="CJ46" i="28"/>
  <c r="IW46" i="28"/>
  <c r="W46" i="28"/>
  <c r="B46" i="28"/>
  <c r="EV46" i="28" s="1"/>
  <c r="K17" i="28"/>
  <c r="EK17" i="28"/>
  <c r="BI16" i="28"/>
  <c r="HI16" i="28"/>
  <c r="IW42" i="47"/>
  <c r="J42" i="47"/>
  <c r="KJ17" i="47"/>
  <c r="CW17" i="47"/>
  <c r="FJ17" i="47"/>
  <c r="DX17" i="28"/>
  <c r="GX17" i="28"/>
  <c r="CI16" i="28"/>
  <c r="GV16" i="28"/>
  <c r="B42" i="47"/>
  <c r="AI42" i="47" s="1"/>
  <c r="GJ42" i="47"/>
  <c r="JJ17" i="47"/>
  <c r="J17" i="47"/>
  <c r="JW17" i="47"/>
  <c r="IX17" i="28"/>
  <c r="KK17" i="28"/>
  <c r="DI16" i="28"/>
  <c r="IV16" i="28"/>
  <c r="JW42" i="47"/>
  <c r="CW42" i="47"/>
  <c r="DJ17" i="47"/>
  <c r="GW17" i="47"/>
  <c r="AJ17" i="47"/>
  <c r="DK17" i="28"/>
  <c r="X17" i="28"/>
  <c r="EI16" i="28"/>
  <c r="GI16" i="28"/>
  <c r="IJ42" i="47"/>
  <c r="FW42" i="47"/>
  <c r="AW17" i="47"/>
  <c r="KW17" i="47"/>
  <c r="FX17" i="28"/>
  <c r="CX17" i="28"/>
  <c r="V16" i="28"/>
  <c r="II16" i="28"/>
  <c r="JJ42" i="47"/>
  <c r="HW42" i="47"/>
  <c r="B17" i="47"/>
  <c r="IV17" i="47" s="1"/>
  <c r="IW17" i="47"/>
  <c r="AX17" i="28"/>
  <c r="JK17" i="28"/>
  <c r="IK17" i="28"/>
  <c r="AV16" i="28"/>
  <c r="KV16" i="28"/>
  <c r="AJ42" i="47"/>
  <c r="AW42" i="47"/>
  <c r="EW17" i="47"/>
  <c r="DW17" i="47"/>
  <c r="GK17" i="28"/>
  <c r="FK17" i="28"/>
  <c r="KX17" i="28"/>
  <c r="BV16" i="28"/>
  <c r="HV16" i="28"/>
  <c r="BJ42" i="47"/>
  <c r="DJ42" i="47"/>
  <c r="LJ17" i="47"/>
  <c r="HJ17" i="47"/>
  <c r="JX17" i="28"/>
  <c r="CK17" i="28"/>
  <c r="LI16" i="28"/>
  <c r="CV16" i="28"/>
  <c r="JI16" i="28"/>
  <c r="BK34" i="28"/>
  <c r="EJ42" i="47"/>
  <c r="CJ42" i="47"/>
  <c r="BW17" i="47"/>
  <c r="CJ17" i="47"/>
  <c r="LK17" i="28"/>
  <c r="HK17" i="28"/>
  <c r="KI16" i="28"/>
  <c r="DV16" i="28"/>
  <c r="JV16" i="28"/>
  <c r="GK34" i="28"/>
  <c r="KW42" i="47"/>
  <c r="HJ42" i="47"/>
  <c r="GW42" i="47"/>
  <c r="FW17" i="47"/>
  <c r="EJ17" i="47"/>
  <c r="BX17" i="28"/>
  <c r="AK17" i="28"/>
  <c r="LV16" i="28"/>
  <c r="EV16" i="28"/>
  <c r="AK34" i="28"/>
  <c r="LJ42" i="47"/>
  <c r="EW42" i="47"/>
  <c r="DW42" i="47"/>
  <c r="IJ17" i="47"/>
  <c r="HW17" i="47"/>
  <c r="BK17" i="28"/>
  <c r="I16" i="28"/>
  <c r="BX34" i="28"/>
  <c r="KJ42" i="47"/>
  <c r="W42" i="47"/>
  <c r="W17" i="47"/>
  <c r="BW46" i="28"/>
  <c r="LW46" i="47"/>
  <c r="HW46" i="28"/>
  <c r="DW46" i="28"/>
  <c r="JW17" i="28"/>
  <c r="AW17" i="28"/>
  <c r="FL45" i="28"/>
  <c r="IY45" i="28"/>
  <c r="DW16" i="47"/>
  <c r="KL45" i="28"/>
  <c r="JJ17" i="28"/>
  <c r="EW17" i="28"/>
  <c r="GY45" i="28"/>
  <c r="BY45" i="28"/>
  <c r="CW16" i="47"/>
  <c r="W17" i="28"/>
  <c r="HL45" i="28"/>
  <c r="BL45" i="28"/>
  <c r="IW16" i="47"/>
  <c r="W16" i="47"/>
  <c r="V22" i="65"/>
  <c r="U22" i="65"/>
  <c r="AA28" i="65"/>
  <c r="AA22" i="65"/>
  <c r="D11" i="28"/>
  <c r="LK11" i="28" s="1"/>
  <c r="IJ55" i="47"/>
  <c r="BW55" i="47"/>
  <c r="GJ55" i="47"/>
  <c r="FJ55" i="47"/>
  <c r="FW55" i="47"/>
  <c r="BJ55" i="47"/>
  <c r="JW55" i="47"/>
  <c r="AW55" i="47"/>
  <c r="HW55" i="47"/>
  <c r="DW55" i="47"/>
  <c r="HJ55" i="47"/>
  <c r="W55" i="47"/>
  <c r="DJ55" i="47"/>
  <c r="AJ55" i="47"/>
  <c r="EW55" i="47"/>
  <c r="J55" i="47"/>
  <c r="B55" i="47"/>
  <c r="GW55" i="47"/>
  <c r="IW55" i="47"/>
  <c r="LJ55" i="47"/>
  <c r="EJ55" i="47"/>
  <c r="CW55" i="47"/>
  <c r="LW55" i="47"/>
  <c r="KJ55" i="47"/>
  <c r="KW55" i="47"/>
  <c r="JJ55" i="47"/>
  <c r="CJ55" i="47"/>
  <c r="U24" i="65"/>
  <c r="AA24" i="65"/>
  <c r="AA30" i="65"/>
  <c r="V24" i="65"/>
  <c r="EW57" i="28"/>
  <c r="AW57" i="28"/>
  <c r="GW57" i="28"/>
  <c r="LJ57" i="28"/>
  <c r="FJ57" i="28"/>
  <c r="AJ57" i="28"/>
  <c r="IW57" i="28"/>
  <c r="W57" i="28"/>
  <c r="LW57" i="28"/>
  <c r="HW57" i="28"/>
  <c r="IJ57" i="28"/>
  <c r="DJ57" i="28"/>
  <c r="HJ57" i="28"/>
  <c r="CW57" i="28"/>
  <c r="B57" i="28"/>
  <c r="FW57" i="28"/>
  <c r="J57" i="28"/>
  <c r="KJ57" i="28"/>
  <c r="DW57" i="28"/>
  <c r="JJ57" i="28"/>
  <c r="GJ57" i="28"/>
  <c r="JW57" i="28"/>
  <c r="BW57" i="28"/>
  <c r="CJ57" i="28"/>
  <c r="KW57" i="28"/>
  <c r="BJ57" i="28"/>
  <c r="EJ57" i="28"/>
  <c r="IJ57" i="47"/>
  <c r="W57" i="47"/>
  <c r="HW57" i="47"/>
  <c r="KJ57" i="47"/>
  <c r="FJ57" i="47"/>
  <c r="DJ57" i="47"/>
  <c r="HJ57" i="47"/>
  <c r="J57" i="47"/>
  <c r="IW57" i="47"/>
  <c r="CW57" i="47"/>
  <c r="EW57" i="47"/>
  <c r="JW57" i="47"/>
  <c r="BJ57" i="47"/>
  <c r="FW57" i="47"/>
  <c r="AW57" i="47"/>
  <c r="BW57" i="47"/>
  <c r="GW57" i="47"/>
  <c r="EJ57" i="47"/>
  <c r="KW57" i="47"/>
  <c r="AJ57" i="47"/>
  <c r="CJ57" i="47"/>
  <c r="DW57" i="47"/>
  <c r="LJ57" i="47"/>
  <c r="GJ57" i="47"/>
  <c r="LW57" i="47"/>
  <c r="JJ57" i="47"/>
  <c r="B57" i="47"/>
  <c r="JJ55" i="28"/>
  <c r="EW55" i="28"/>
  <c r="GW55" i="28"/>
  <c r="W55" i="28"/>
  <c r="FJ55" i="28"/>
  <c r="IW55" i="28"/>
  <c r="DW55" i="28"/>
  <c r="DJ55" i="28"/>
  <c r="B55" i="28"/>
  <c r="J55" i="28"/>
  <c r="IJ55" i="28"/>
  <c r="CW55" i="28"/>
  <c r="KW55" i="28"/>
  <c r="HJ55" i="28"/>
  <c r="CJ55" i="28"/>
  <c r="LW55" i="28"/>
  <c r="FW55" i="28"/>
  <c r="BW55" i="28"/>
  <c r="LJ55" i="28"/>
  <c r="JW55" i="28"/>
  <c r="BJ55" i="28"/>
  <c r="KJ55" i="28"/>
  <c r="GJ55" i="28"/>
  <c r="AJ55" i="28"/>
  <c r="HW55" i="28"/>
  <c r="AW55" i="28"/>
  <c r="EJ55" i="28"/>
  <c r="KL48" i="28"/>
  <c r="EL48" i="28"/>
  <c r="BL48" i="28"/>
  <c r="AJ41" i="47"/>
  <c r="FW41" i="47"/>
  <c r="J41" i="47"/>
  <c r="GJ41" i="47"/>
  <c r="EW41" i="47"/>
  <c r="FJ41" i="47"/>
  <c r="GW41" i="47"/>
  <c r="JJ41" i="47"/>
  <c r="HI6" i="47"/>
  <c r="JV6" i="47"/>
  <c r="KI7" i="28"/>
  <c r="II7" i="28"/>
  <c r="IV7" i="28"/>
  <c r="HW41" i="47"/>
  <c r="CJ41" i="47"/>
  <c r="AW41" i="47"/>
  <c r="B41" i="47"/>
  <c r="IV41" i="47" s="1"/>
  <c r="BV6" i="47"/>
  <c r="FV6" i="47"/>
  <c r="AV7" i="28"/>
  <c r="FV7" i="28"/>
  <c r="HJ41" i="47"/>
  <c r="W41" i="47"/>
  <c r="CI6" i="47"/>
  <c r="GV6" i="47"/>
  <c r="GV7" i="28"/>
  <c r="LV7" i="28"/>
  <c r="EJ41" i="47"/>
  <c r="LW41" i="47"/>
  <c r="EI6" i="47"/>
  <c r="DV6" i="47"/>
  <c r="JV7" i="28"/>
  <c r="AI7" i="28"/>
  <c r="JW41" i="47"/>
  <c r="BJ41" i="47"/>
  <c r="LJ41" i="47"/>
  <c r="CV6" i="47"/>
  <c r="HV6" i="47"/>
  <c r="BI7" i="28"/>
  <c r="KV7" i="28"/>
  <c r="DW41" i="47"/>
  <c r="DI6" i="47"/>
  <c r="GI7" i="28"/>
  <c r="CW41" i="47"/>
  <c r="DJ41" i="47"/>
  <c r="J5" i="71"/>
  <c r="JV14" i="28"/>
  <c r="HI14" i="28"/>
  <c r="HV14" i="28"/>
  <c r="GY39" i="47"/>
  <c r="KL39" i="47"/>
  <c r="EW36" i="28"/>
  <c r="KW36" i="28"/>
  <c r="V29" i="28"/>
  <c r="EV14" i="28"/>
  <c r="IV14" i="28"/>
  <c r="Y39" i="47"/>
  <c r="JL39" i="47"/>
  <c r="CW36" i="28"/>
  <c r="AJ36" i="28"/>
  <c r="IY45" i="47"/>
  <c r="DV29" i="28"/>
  <c r="JI29" i="28"/>
  <c r="DI14" i="28"/>
  <c r="II14" i="28"/>
  <c r="L39" i="47"/>
  <c r="KY39" i="47"/>
  <c r="IL39" i="47"/>
  <c r="BW36" i="28"/>
  <c r="IW36" i="28"/>
  <c r="J36" i="28"/>
  <c r="CL45" i="47"/>
  <c r="CV29" i="28"/>
  <c r="KV29" i="28"/>
  <c r="BV14" i="28"/>
  <c r="LI14" i="28"/>
  <c r="AL39" i="47"/>
  <c r="HY39" i="47"/>
  <c r="LL39" i="47"/>
  <c r="BJ36" i="28"/>
  <c r="B36" i="28"/>
  <c r="KI36" i="28" s="1"/>
  <c r="DW36" i="28"/>
  <c r="L45" i="47"/>
  <c r="HI29" i="28"/>
  <c r="EV29" i="28"/>
  <c r="FV29" i="28"/>
  <c r="I14" i="28"/>
  <c r="JI14" i="28"/>
  <c r="CY39" i="47"/>
  <c r="DL39" i="47"/>
  <c r="LY39" i="47"/>
  <c r="FW36" i="28"/>
  <c r="IJ36" i="28"/>
  <c r="KJ36" i="28"/>
  <c r="KL45" i="47"/>
  <c r="AI14" i="28"/>
  <c r="KV14" i="28"/>
  <c r="DY39" i="47"/>
  <c r="IY39" i="47"/>
  <c r="DJ36" i="28"/>
  <c r="HJ36" i="28"/>
  <c r="BI29" i="28"/>
  <c r="HV29" i="28"/>
  <c r="V14" i="28"/>
  <c r="KI14" i="28"/>
  <c r="AY39" i="47"/>
  <c r="CL39" i="47"/>
  <c r="GJ36" i="28"/>
  <c r="W36" i="28"/>
  <c r="BV29" i="28"/>
  <c r="AI29" i="28"/>
  <c r="IV29" i="28"/>
  <c r="EI14" i="28"/>
  <c r="LV14" i="28"/>
  <c r="EY39" i="47"/>
  <c r="FL39" i="47"/>
  <c r="FJ36" i="28"/>
  <c r="AW36" i="28"/>
  <c r="II29" i="28"/>
  <c r="GV29" i="28"/>
  <c r="JV29" i="28"/>
  <c r="CI14" i="28"/>
  <c r="FV14" i="28"/>
  <c r="EL39" i="47"/>
  <c r="FY39" i="47"/>
  <c r="LW36" i="28"/>
  <c r="LJ36" i="28"/>
  <c r="DI29" i="28"/>
  <c r="EI29" i="28"/>
  <c r="KI29" i="28"/>
  <c r="CV14" i="28"/>
  <c r="FI14" i="28"/>
  <c r="BY39" i="47"/>
  <c r="GL39" i="47"/>
  <c r="EJ36" i="28"/>
  <c r="JJ36" i="28"/>
  <c r="CI29" i="28"/>
  <c r="I29" i="28"/>
  <c r="FI29" i="28"/>
  <c r="DV14" i="28"/>
  <c r="HL39" i="47"/>
  <c r="HW36" i="28"/>
  <c r="J5" i="72"/>
  <c r="JX46" i="47"/>
  <c r="FK46" i="47"/>
  <c r="IK46" i="47"/>
  <c r="X46" i="47"/>
  <c r="DK46" i="47"/>
  <c r="BX46" i="47"/>
  <c r="AX46" i="47"/>
  <c r="KX46" i="47"/>
  <c r="HK46" i="47"/>
  <c r="DX46" i="47"/>
  <c r="IX46" i="47"/>
  <c r="GX46" i="47"/>
  <c r="JK46" i="47"/>
  <c r="EK46" i="47"/>
  <c r="HX46" i="47"/>
  <c r="CK46" i="47"/>
  <c r="LK46" i="47"/>
  <c r="AK46" i="47"/>
  <c r="LX46" i="47"/>
  <c r="CX46" i="47"/>
  <c r="KK46" i="47"/>
  <c r="EX46" i="47"/>
  <c r="K5" i="72"/>
  <c r="E27" i="26" s="1"/>
  <c r="KY45" i="47"/>
  <c r="EL45" i="47"/>
  <c r="CW22" i="47"/>
  <c r="DY45" i="47"/>
  <c r="AL45" i="47"/>
  <c r="HL45" i="47"/>
  <c r="CY45" i="47"/>
  <c r="EY45" i="47"/>
  <c r="JY45" i="47"/>
  <c r="DL45" i="47"/>
  <c r="Y45" i="47"/>
  <c r="AA25" i="63"/>
  <c r="D45" i="47"/>
  <c r="KK45" i="47" s="1"/>
  <c r="AY45" i="47"/>
  <c r="BL45" i="47"/>
  <c r="B22" i="47"/>
  <c r="HI22" i="47" s="1"/>
  <c r="LY45" i="47"/>
  <c r="J7" i="72"/>
  <c r="DJ16" i="47"/>
  <c r="HY45" i="47"/>
  <c r="GL45" i="47"/>
  <c r="J6" i="72"/>
  <c r="L6" i="63"/>
  <c r="AV6" i="63" s="1"/>
  <c r="FI52" i="28"/>
  <c r="JI52" i="28"/>
  <c r="AI52" i="28"/>
  <c r="FV52" i="28"/>
  <c r="GI52" i="28"/>
  <c r="EI52" i="28"/>
  <c r="IV52" i="28"/>
  <c r="JV52" i="28"/>
  <c r="LI52" i="28"/>
  <c r="V52" i="28"/>
  <c r="KI52" i="28"/>
  <c r="KV52" i="28"/>
  <c r="AV52" i="28"/>
  <c r="CI52" i="28"/>
  <c r="HV52" i="28"/>
  <c r="II52" i="28"/>
  <c r="EV52" i="28"/>
  <c r="DI52" i="28"/>
  <c r="BV52" i="28"/>
  <c r="I52" i="28"/>
  <c r="GV52" i="28"/>
  <c r="LV52" i="28"/>
  <c r="DV52" i="28"/>
  <c r="HI52" i="28"/>
  <c r="BI52" i="28"/>
  <c r="CV52" i="28"/>
  <c r="LV52" i="47"/>
  <c r="CV52" i="47"/>
  <c r="II52" i="47"/>
  <c r="GV52" i="47"/>
  <c r="KV52" i="47"/>
  <c r="IV52" i="47"/>
  <c r="LI52" i="47"/>
  <c r="FV52" i="47"/>
  <c r="DV52" i="47"/>
  <c r="HI52" i="47"/>
  <c r="BV52" i="47"/>
  <c r="KI52" i="47"/>
  <c r="FI52" i="47"/>
  <c r="EV52" i="47"/>
  <c r="EI52" i="47"/>
  <c r="JV52" i="47"/>
  <c r="CI52" i="47"/>
  <c r="BI52" i="47"/>
  <c r="DI52" i="47"/>
  <c r="GI52" i="47"/>
  <c r="AV52" i="47"/>
  <c r="I52" i="47"/>
  <c r="AI52" i="47"/>
  <c r="HV52" i="47"/>
  <c r="JI52" i="47"/>
  <c r="V52" i="47"/>
  <c r="AA31" i="63"/>
  <c r="J22" i="47"/>
  <c r="GX41" i="28"/>
  <c r="DK41" i="28"/>
  <c r="AK41" i="28"/>
  <c r="J7" i="71"/>
  <c r="L8" i="71"/>
  <c r="AV8" i="71" s="1"/>
  <c r="HX34" i="28"/>
  <c r="JX34" i="28"/>
  <c r="CX34" i="28"/>
  <c r="DK34" i="28"/>
  <c r="HK34" i="28"/>
  <c r="EK34" i="28"/>
  <c r="AX34" i="28"/>
  <c r="EX34" i="28"/>
  <c r="CK34" i="28"/>
  <c r="IK34" i="28"/>
  <c r="DX34" i="28"/>
  <c r="X34" i="28"/>
  <c r="FX34" i="28"/>
  <c r="JK34" i="28"/>
  <c r="AX41" i="28"/>
  <c r="LX34" i="28"/>
  <c r="FK34" i="28"/>
  <c r="KK34" i="28"/>
  <c r="KX34" i="28"/>
  <c r="GX34" i="28"/>
  <c r="LK34" i="28"/>
  <c r="K34" i="28"/>
  <c r="IK41" i="28"/>
  <c r="X41" i="28"/>
  <c r="EK41" i="28"/>
  <c r="FK41" i="28"/>
  <c r="B46" i="47"/>
  <c r="IV46" i="47" s="1"/>
  <c r="LJ46" i="47"/>
  <c r="DX41" i="28"/>
  <c r="JK41" i="28"/>
  <c r="V22" i="72"/>
  <c r="AW46" i="47"/>
  <c r="FJ46" i="47"/>
  <c r="KK41" i="28"/>
  <c r="GK41" i="28"/>
  <c r="U22" i="72"/>
  <c r="CJ24" i="47"/>
  <c r="FW46" i="47"/>
  <c r="V23" i="28"/>
  <c r="AA22" i="72"/>
  <c r="BJ24" i="47"/>
  <c r="HW46" i="47"/>
  <c r="KV23" i="28"/>
  <c r="IJ46" i="47"/>
  <c r="W46" i="47"/>
  <c r="JI23" i="28"/>
  <c r="IW46" i="47"/>
  <c r="CJ46" i="47"/>
  <c r="EX41" i="28"/>
  <c r="DJ46" i="47"/>
  <c r="KJ46" i="47"/>
  <c r="JJ46" i="47"/>
  <c r="GW46" i="47"/>
  <c r="CX41" i="28"/>
  <c r="AJ46" i="47"/>
  <c r="HJ46" i="47"/>
  <c r="IX41" i="28"/>
  <c r="BW46" i="47"/>
  <c r="DW46" i="47"/>
  <c r="LK41" i="28"/>
  <c r="BK41" i="28"/>
  <c r="GJ46" i="47"/>
  <c r="EJ46" i="47"/>
  <c r="KX41" i="28"/>
  <c r="BX41" i="28"/>
  <c r="FX41" i="28"/>
  <c r="CK41" i="28"/>
  <c r="JX41" i="28"/>
  <c r="HK41" i="28"/>
  <c r="LX41" i="28"/>
  <c r="HX41" i="28"/>
  <c r="T27" i="62"/>
  <c r="U27" i="62" s="1"/>
  <c r="V25" i="63"/>
  <c r="JJ16" i="47"/>
  <c r="IL45" i="47"/>
  <c r="GY45" i="47"/>
  <c r="HJ22" i="47"/>
  <c r="LL45" i="47"/>
  <c r="GW16" i="47"/>
  <c r="BY45" i="47"/>
  <c r="FL45" i="47"/>
  <c r="J8" i="72"/>
  <c r="FY45" i="47"/>
  <c r="K8" i="71"/>
  <c r="E35" i="26" s="1"/>
  <c r="Z33" i="62"/>
  <c r="AA26" i="71"/>
  <c r="AA30" i="70"/>
  <c r="Z27" i="62"/>
  <c r="V26" i="71"/>
  <c r="K5" i="63"/>
  <c r="E17" i="26" s="1"/>
  <c r="U26" i="71"/>
  <c r="L7" i="72"/>
  <c r="AV7" i="72" s="1"/>
  <c r="K8" i="72"/>
  <c r="E30" i="26" s="1"/>
  <c r="K6" i="72"/>
  <c r="E28" i="26" s="1"/>
  <c r="L6" i="72"/>
  <c r="AV6" i="72" s="1"/>
  <c r="L8" i="72"/>
  <c r="AV8" i="72" s="1"/>
  <c r="CW46" i="47"/>
  <c r="FW16" i="47"/>
  <c r="IW22" i="47"/>
  <c r="EJ22" i="47"/>
  <c r="DW22" i="47"/>
  <c r="HW22" i="47"/>
  <c r="JJ22" i="47"/>
  <c r="FW22" i="47"/>
  <c r="W22" i="47"/>
  <c r="AJ22" i="47"/>
  <c r="LW22" i="47"/>
  <c r="U27" i="72"/>
  <c r="BW22" i="47"/>
  <c r="KJ22" i="47"/>
  <c r="AA32" i="63"/>
  <c r="L7" i="71"/>
  <c r="AV7" i="71" s="1"/>
  <c r="AA27" i="72"/>
  <c r="V27" i="72"/>
  <c r="AW22" i="47"/>
  <c r="LJ22" i="47"/>
  <c r="L6" i="71"/>
  <c r="AV6" i="71" s="1"/>
  <c r="DJ22" i="47"/>
  <c r="FJ22" i="47"/>
  <c r="K7" i="71"/>
  <c r="JL11" i="28"/>
  <c r="L5" i="72"/>
  <c r="AV5" i="72" s="1"/>
  <c r="GL11" i="28"/>
  <c r="IL11" i="28"/>
  <c r="AA30" i="72"/>
  <c r="K6" i="71"/>
  <c r="E33" i="26" s="1"/>
  <c r="V24" i="72"/>
  <c r="U24" i="72"/>
  <c r="EW22" i="47"/>
  <c r="IJ22" i="47"/>
  <c r="JW22" i="47"/>
  <c r="BJ46" i="47"/>
  <c r="JW46" i="47"/>
  <c r="KW46" i="47"/>
  <c r="EW46" i="47"/>
  <c r="K5" i="71"/>
  <c r="E32" i="26" s="1"/>
  <c r="KW41" i="28"/>
  <c r="BJ41" i="28"/>
  <c r="J41" i="28"/>
  <c r="JJ41" i="28"/>
  <c r="JW41" i="28"/>
  <c r="CJ41" i="28"/>
  <c r="LJ41" i="28"/>
  <c r="IW41" i="28"/>
  <c r="LW41" i="28"/>
  <c r="B41" i="28"/>
  <c r="GW41" i="28"/>
  <c r="GJ41" i="28"/>
  <c r="AW41" i="28"/>
  <c r="KJ41" i="28"/>
  <c r="EJ41" i="28"/>
  <c r="HW41" i="28"/>
  <c r="AJ41" i="28"/>
  <c r="EW41" i="28"/>
  <c r="W41" i="28"/>
  <c r="HJ41" i="28"/>
  <c r="FW41" i="28"/>
  <c r="BW41" i="28"/>
  <c r="DJ41" i="28"/>
  <c r="IJ41" i="28"/>
  <c r="DW41" i="28"/>
  <c r="FJ41" i="28"/>
  <c r="CW41" i="28"/>
  <c r="V22" i="71"/>
  <c r="AA22" i="71"/>
  <c r="AA28" i="71"/>
  <c r="U22" i="71"/>
  <c r="J8" i="71"/>
  <c r="L5" i="71"/>
  <c r="AV5" i="71" s="1"/>
  <c r="E15" i="28"/>
  <c r="DL15" i="28" s="1"/>
  <c r="HW16" i="47"/>
  <c r="BJ16" i="47"/>
  <c r="Z30" i="62"/>
  <c r="JW16" i="47"/>
  <c r="V26" i="63"/>
  <c r="AA26" i="63"/>
  <c r="V27" i="71"/>
  <c r="U27" i="71"/>
  <c r="AA33" i="71"/>
  <c r="AA27" i="71"/>
  <c r="CW22" i="28"/>
  <c r="EY42" i="28"/>
  <c r="GY42" i="28"/>
  <c r="BL42" i="28"/>
  <c r="IL42" i="28"/>
  <c r="DL42" i="28"/>
  <c r="FL42" i="28"/>
  <c r="KL42" i="28"/>
  <c r="JL42" i="28"/>
  <c r="CY42" i="28"/>
  <c r="HY42" i="28"/>
  <c r="GL42" i="28"/>
  <c r="EL42" i="28"/>
  <c r="FY42" i="28"/>
  <c r="LL42" i="28"/>
  <c r="KY42" i="28"/>
  <c r="BY42" i="28"/>
  <c r="Y42" i="28"/>
  <c r="IY42" i="28"/>
  <c r="JY42" i="28"/>
  <c r="D42" i="28"/>
  <c r="DY42" i="28"/>
  <c r="CL42" i="28"/>
  <c r="AL42" i="28"/>
  <c r="AY42" i="28"/>
  <c r="HL42" i="28"/>
  <c r="L42" i="28"/>
  <c r="LY42" i="28"/>
  <c r="DL42" i="47"/>
  <c r="EL42" i="47"/>
  <c r="FL42" i="47"/>
  <c r="DY42" i="47"/>
  <c r="EY42" i="47"/>
  <c r="KY42" i="47"/>
  <c r="JL42" i="47"/>
  <c r="D42" i="47"/>
  <c r="JY42" i="47"/>
  <c r="BY42" i="47"/>
  <c r="FY42" i="47"/>
  <c r="GL42" i="47"/>
  <c r="HL42" i="47"/>
  <c r="LL42" i="47"/>
  <c r="L42" i="47"/>
  <c r="BL42" i="47"/>
  <c r="AY42" i="47"/>
  <c r="KL42" i="47"/>
  <c r="HY42" i="47"/>
  <c r="Y42" i="47"/>
  <c r="GY42" i="47"/>
  <c r="CY42" i="47"/>
  <c r="LY42" i="47"/>
  <c r="IL42" i="47"/>
  <c r="IY42" i="47"/>
  <c r="AL42" i="47"/>
  <c r="CL42" i="47"/>
  <c r="Z24" i="62"/>
  <c r="JX14" i="47"/>
  <c r="BL34" i="47"/>
  <c r="FY34" i="47"/>
  <c r="JY34" i="47"/>
  <c r="FL34" i="47"/>
  <c r="DY34" i="47"/>
  <c r="KL34" i="47"/>
  <c r="Y34" i="47"/>
  <c r="HY34" i="47"/>
  <c r="IL34" i="47"/>
  <c r="LY34" i="47"/>
  <c r="CL34" i="47"/>
  <c r="LL34" i="47"/>
  <c r="BY34" i="47"/>
  <c r="DL34" i="47"/>
  <c r="D34" i="47"/>
  <c r="HL34" i="47"/>
  <c r="L34" i="47"/>
  <c r="JL34" i="47"/>
  <c r="AL34" i="47"/>
  <c r="IY34" i="47"/>
  <c r="KY34" i="47"/>
  <c r="GL34" i="47"/>
  <c r="AY34" i="47"/>
  <c r="EL34" i="47"/>
  <c r="GY34" i="47"/>
  <c r="CY34" i="47"/>
  <c r="EY34" i="47"/>
  <c r="FV23" i="28"/>
  <c r="JV23" i="28"/>
  <c r="HW23" i="47"/>
  <c r="AJ24" i="47"/>
  <c r="B24" i="47"/>
  <c r="HV24" i="47" s="1"/>
  <c r="AV23" i="28"/>
  <c r="GV23" i="28"/>
  <c r="JW24" i="47"/>
  <c r="CW24" i="47"/>
  <c r="EV23" i="28"/>
  <c r="II23" i="28"/>
  <c r="J24" i="47"/>
  <c r="DI23" i="28"/>
  <c r="IV23" i="28"/>
  <c r="AJ23" i="47"/>
  <c r="LJ24" i="47"/>
  <c r="JW23" i="47"/>
  <c r="EW24" i="47"/>
  <c r="BV23" i="28"/>
  <c r="GI23" i="28"/>
  <c r="LW24" i="47"/>
  <c r="AI23" i="28"/>
  <c r="HI23" i="28"/>
  <c r="LY11" i="28"/>
  <c r="FW24" i="47"/>
  <c r="U24" i="70"/>
  <c r="KI23" i="28"/>
  <c r="EI23" i="28"/>
  <c r="LV23" i="28"/>
  <c r="AW24" i="47"/>
  <c r="I23" i="28"/>
  <c r="CV23" i="28"/>
  <c r="LI23" i="28"/>
  <c r="J23" i="47"/>
  <c r="LW23" i="47"/>
  <c r="HJ24" i="47"/>
  <c r="CI23" i="28"/>
  <c r="BI23" i="28"/>
  <c r="HW24" i="47"/>
  <c r="DW24" i="47"/>
  <c r="JW22" i="28"/>
  <c r="DV23" i="28"/>
  <c r="FJ24" i="47"/>
  <c r="AA24" i="70"/>
  <c r="EJ16" i="47"/>
  <c r="AW16" i="47"/>
  <c r="IK14" i="47"/>
  <c r="M7" i="70"/>
  <c r="M6" i="70"/>
  <c r="C18" i="28"/>
  <c r="CJ18" i="28" s="1"/>
  <c r="K8" i="63"/>
  <c r="E20" i="26" s="1"/>
  <c r="K14" i="47"/>
  <c r="W24" i="47"/>
  <c r="HJ16" i="47"/>
  <c r="LW16" i="47"/>
  <c r="CX14" i="47"/>
  <c r="IJ24" i="47"/>
  <c r="DJ24" i="47"/>
  <c r="B16" i="47"/>
  <c r="JI16" i="47" s="1"/>
  <c r="LJ16" i="47"/>
  <c r="CK14" i="47"/>
  <c r="I5" i="62"/>
  <c r="EX14" i="47"/>
  <c r="J5" i="63"/>
  <c r="AA25" i="62"/>
  <c r="CJ22" i="28"/>
  <c r="KW22" i="28"/>
  <c r="GJ24" i="47"/>
  <c r="JJ24" i="47"/>
  <c r="GW24" i="47"/>
  <c r="KW24" i="47"/>
  <c r="BK14" i="47"/>
  <c r="DJ22" i="28"/>
  <c r="IW22" i="28"/>
  <c r="LW22" i="28"/>
  <c r="J8" i="63"/>
  <c r="U25" i="62"/>
  <c r="FJ22" i="28"/>
  <c r="HJ22" i="28"/>
  <c r="AJ22" i="28"/>
  <c r="GJ22" i="28"/>
  <c r="AW22" i="28"/>
  <c r="HW22" i="28"/>
  <c r="J22" i="28"/>
  <c r="AA31" i="62"/>
  <c r="DW22" i="28"/>
  <c r="B22" i="28"/>
  <c r="GW22" i="28"/>
  <c r="JJ22" i="28"/>
  <c r="EJ22" i="28"/>
  <c r="BJ22" i="28"/>
  <c r="BW22" i="28"/>
  <c r="FW22" i="28"/>
  <c r="IJ22" i="28"/>
  <c r="FJ29" i="47"/>
  <c r="GJ29" i="47"/>
  <c r="W29" i="47"/>
  <c r="LW29" i="47"/>
  <c r="EW29" i="47"/>
  <c r="AJ29" i="47"/>
  <c r="DW29" i="47"/>
  <c r="IJ29" i="47"/>
  <c r="B29" i="47"/>
  <c r="BJ29" i="47"/>
  <c r="KJ29" i="47"/>
  <c r="LJ29" i="47"/>
  <c r="HW29" i="47"/>
  <c r="CJ29" i="47"/>
  <c r="KW29" i="47"/>
  <c r="JW29" i="47"/>
  <c r="EJ29" i="47"/>
  <c r="IW29" i="47"/>
  <c r="CW29" i="47"/>
  <c r="AW29" i="47"/>
  <c r="FW29" i="47"/>
  <c r="HJ29" i="47"/>
  <c r="DJ29" i="47"/>
  <c r="GW29" i="47"/>
  <c r="J29" i="47"/>
  <c r="JJ29" i="47"/>
  <c r="BW29" i="47"/>
  <c r="EW22" i="28"/>
  <c r="L5" i="63"/>
  <c r="AV5" i="63" s="1"/>
  <c r="BJ23" i="47"/>
  <c r="KJ23" i="47"/>
  <c r="CJ23" i="47"/>
  <c r="HJ23" i="47"/>
  <c r="LJ23" i="47"/>
  <c r="DJ23" i="47"/>
  <c r="IJ23" i="47"/>
  <c r="B23" i="47"/>
  <c r="I23" i="47" s="1"/>
  <c r="JJ23" i="47"/>
  <c r="FJ23" i="47"/>
  <c r="AW23" i="47"/>
  <c r="AA24" i="63"/>
  <c r="W23" i="47"/>
  <c r="GJ23" i="47"/>
  <c r="BW23" i="47"/>
  <c r="IW23" i="47"/>
  <c r="KJ10" i="28"/>
  <c r="EW23" i="47"/>
  <c r="GW23" i="47"/>
  <c r="EJ24" i="47"/>
  <c r="BW24" i="47"/>
  <c r="IW24" i="47"/>
  <c r="FW23" i="47"/>
  <c r="CW23" i="47"/>
  <c r="KW23" i="47"/>
  <c r="L7" i="63"/>
  <c r="AV7" i="63" s="1"/>
  <c r="DW23" i="47"/>
  <c r="GK14" i="47"/>
  <c r="GX14" i="47"/>
  <c r="DK14" i="47"/>
  <c r="V27" i="61"/>
  <c r="AA27" i="61"/>
  <c r="AA33" i="61"/>
  <c r="HK14" i="47"/>
  <c r="BX14" i="47"/>
  <c r="N6" i="70"/>
  <c r="Z25" i="70"/>
  <c r="M5" i="70"/>
  <c r="I8" i="70"/>
  <c r="I7" i="70"/>
  <c r="H6" i="70"/>
  <c r="T25" i="70"/>
  <c r="V25" i="70" s="1"/>
  <c r="O5" i="70"/>
  <c r="FJ16" i="47"/>
  <c r="GJ16" i="47"/>
  <c r="H7" i="70"/>
  <c r="O7" i="70"/>
  <c r="N5" i="70"/>
  <c r="Z31" i="70"/>
  <c r="I5" i="70"/>
  <c r="I6" i="70"/>
  <c r="H5" i="70"/>
  <c r="N7" i="70"/>
  <c r="M8" i="70"/>
  <c r="N8" i="70"/>
  <c r="AJ16" i="47"/>
  <c r="CJ16" i="47"/>
  <c r="C30" i="28"/>
  <c r="CW30" i="28" s="1"/>
  <c r="O6" i="70"/>
  <c r="K7" i="63"/>
  <c r="E19" i="26" s="1"/>
  <c r="C30" i="47"/>
  <c r="H8" i="70"/>
  <c r="H6" i="62"/>
  <c r="J7" i="63"/>
  <c r="T24" i="62"/>
  <c r="V24" i="62" s="1"/>
  <c r="JK14" i="47"/>
  <c r="BJ10" i="28"/>
  <c r="J10" i="28"/>
  <c r="DJ10" i="28"/>
  <c r="HX14" i="47"/>
  <c r="AK14" i="47"/>
  <c r="FK14" i="47"/>
  <c r="X14" i="47"/>
  <c r="FX14" i="47"/>
  <c r="KX14" i="47"/>
  <c r="DX14" i="47"/>
  <c r="EK14" i="47"/>
  <c r="U24" i="63"/>
  <c r="V24" i="63"/>
  <c r="KK14" i="47"/>
  <c r="LK14" i="47"/>
  <c r="AX14" i="47"/>
  <c r="KJ22" i="28"/>
  <c r="LJ22" i="28"/>
  <c r="GW22" i="47"/>
  <c r="BJ22" i="47"/>
  <c r="KW22" i="47"/>
  <c r="GJ22" i="47"/>
  <c r="AY11" i="28"/>
  <c r="EY11" i="28"/>
  <c r="JY11" i="28"/>
  <c r="L11" i="28"/>
  <c r="AL11" i="28"/>
  <c r="DY11" i="28"/>
  <c r="KY11" i="28"/>
  <c r="HL11" i="28"/>
  <c r="EL11" i="28"/>
  <c r="BL11" i="28"/>
  <c r="KL11" i="28"/>
  <c r="Y11" i="28"/>
  <c r="CL11" i="28"/>
  <c r="FL11" i="28"/>
  <c r="BY11" i="28"/>
  <c r="J6" i="63"/>
  <c r="HY11" i="28"/>
  <c r="DL11" i="28"/>
  <c r="IY11" i="28"/>
  <c r="L8" i="63"/>
  <c r="AV8" i="63" s="1"/>
  <c r="LX14" i="47"/>
  <c r="H8" i="61"/>
  <c r="T23" i="61"/>
  <c r="V23" i="61" s="1"/>
  <c r="O5" i="61"/>
  <c r="I8" i="61"/>
  <c r="O8" i="61"/>
  <c r="IW10" i="28"/>
  <c r="BW10" i="28"/>
  <c r="EW10" i="28"/>
  <c r="CW10" i="28"/>
  <c r="EJ10" i="28"/>
  <c r="FJ10" i="28"/>
  <c r="FW10" i="28"/>
  <c r="W10" i="28"/>
  <c r="IJ10" i="28"/>
  <c r="CJ10" i="28"/>
  <c r="LW10" i="28"/>
  <c r="GW10" i="28"/>
  <c r="AJ10" i="28"/>
  <c r="B10" i="28"/>
  <c r="V10" i="28" s="1"/>
  <c r="HJ10" i="28"/>
  <c r="AW10" i="28"/>
  <c r="GY11" i="28"/>
  <c r="CY11" i="28"/>
  <c r="I5" i="61"/>
  <c r="FY11" i="28"/>
  <c r="M8" i="61"/>
  <c r="GJ10" i="28"/>
  <c r="JJ10" i="28"/>
  <c r="KW10" i="28"/>
  <c r="LJ10" i="28"/>
  <c r="JW10" i="28"/>
  <c r="DW10" i="28"/>
  <c r="H5" i="61"/>
  <c r="H6" i="61"/>
  <c r="EW10" i="47"/>
  <c r="HW10" i="47"/>
  <c r="CJ10" i="47"/>
  <c r="B10" i="47"/>
  <c r="GJ10" i="47"/>
  <c r="HJ10" i="47"/>
  <c r="LJ10" i="47"/>
  <c r="FJ10" i="47"/>
  <c r="EJ10" i="47"/>
  <c r="KW10" i="47"/>
  <c r="DW10" i="47"/>
  <c r="BJ10" i="47"/>
  <c r="KJ10" i="47"/>
  <c r="J10" i="47"/>
  <c r="FW10" i="47"/>
  <c r="GW10" i="47"/>
  <c r="AJ10" i="47"/>
  <c r="CW10" i="47"/>
  <c r="JW10" i="47"/>
  <c r="JJ10" i="47"/>
  <c r="BW10" i="47"/>
  <c r="IW10" i="47"/>
  <c r="AW10" i="47"/>
  <c r="IJ10" i="47"/>
  <c r="W10" i="47"/>
  <c r="LW10" i="47"/>
  <c r="DJ10" i="47"/>
  <c r="N8" i="61"/>
  <c r="O8" i="62"/>
  <c r="M7" i="61"/>
  <c r="F15" i="47"/>
  <c r="W24" i="62"/>
  <c r="X24" i="62"/>
  <c r="Y24" i="62"/>
  <c r="F15" i="28"/>
  <c r="G15" i="47"/>
  <c r="G15" i="28"/>
  <c r="H7" i="61"/>
  <c r="M6" i="61"/>
  <c r="O7" i="61"/>
  <c r="I7" i="61"/>
  <c r="N7" i="61"/>
  <c r="E13" i="28"/>
  <c r="DL13" i="28" s="1"/>
  <c r="E13" i="47"/>
  <c r="JY13" i="47" s="1"/>
  <c r="I8" i="62"/>
  <c r="H8" i="62"/>
  <c r="M7" i="62"/>
  <c r="LK16" i="28"/>
  <c r="IK16" i="28"/>
  <c r="DK16" i="28"/>
  <c r="IX16" i="28"/>
  <c r="AK16" i="28"/>
  <c r="EX16" i="28"/>
  <c r="BK16" i="28"/>
  <c r="HX16" i="28"/>
  <c r="FK16" i="28"/>
  <c r="KK16" i="28"/>
  <c r="EK16" i="28"/>
  <c r="LX16" i="28"/>
  <c r="GX16" i="28"/>
  <c r="CX16" i="28"/>
  <c r="FX16" i="28"/>
  <c r="X16" i="28"/>
  <c r="KX16" i="28"/>
  <c r="HK16" i="28"/>
  <c r="DX16" i="28"/>
  <c r="JK16" i="28"/>
  <c r="AX16" i="28"/>
  <c r="JX16" i="28"/>
  <c r="GK16" i="28"/>
  <c r="K16" i="28"/>
  <c r="CK16" i="28"/>
  <c r="BX16" i="28"/>
  <c r="H5" i="62"/>
  <c r="N8" i="62"/>
  <c r="M6" i="62"/>
  <c r="I7" i="62"/>
  <c r="N5" i="61"/>
  <c r="KX16" i="47"/>
  <c r="BX16" i="47"/>
  <c r="LK16" i="47"/>
  <c r="DX16" i="47"/>
  <c r="JK16" i="47"/>
  <c r="IK16" i="47"/>
  <c r="AK16" i="47"/>
  <c r="FX16" i="47"/>
  <c r="X16" i="47"/>
  <c r="HK16" i="47"/>
  <c r="DK16" i="47"/>
  <c r="LX16" i="47"/>
  <c r="K16" i="47"/>
  <c r="IX16" i="47"/>
  <c r="GX16" i="47"/>
  <c r="GK16" i="47"/>
  <c r="CK16" i="47"/>
  <c r="FK16" i="47"/>
  <c r="KK16" i="47"/>
  <c r="AX16" i="47"/>
  <c r="EX16" i="47"/>
  <c r="BK16" i="47"/>
  <c r="CX16" i="47"/>
  <c r="HX16" i="47"/>
  <c r="JX16" i="47"/>
  <c r="EK16" i="47"/>
  <c r="O5" i="62"/>
  <c r="I6" i="62"/>
  <c r="Z29" i="61"/>
  <c r="M5" i="62"/>
  <c r="N6" i="62"/>
  <c r="O7" i="62"/>
  <c r="N6" i="61"/>
  <c r="Z23" i="61"/>
  <c r="Z22" i="62"/>
  <c r="M8" i="62"/>
  <c r="N7" i="62"/>
  <c r="N5" i="62"/>
  <c r="O6" i="62"/>
  <c r="T22" i="62"/>
  <c r="AA28" i="62" s="1"/>
  <c r="H7" i="62"/>
  <c r="E7" i="28"/>
  <c r="BL7" i="28" s="1"/>
  <c r="V24" i="61"/>
  <c r="U24" i="61"/>
  <c r="AA30" i="61"/>
  <c r="AA24" i="61"/>
  <c r="AJ8" i="28"/>
  <c r="FJ8" i="28"/>
  <c r="DJ8" i="28"/>
  <c r="B8" i="28"/>
  <c r="BW8" i="28"/>
  <c r="LW8" i="28"/>
  <c r="J8" i="28"/>
  <c r="KW8" i="28"/>
  <c r="AW8" i="28"/>
  <c r="KJ8" i="28"/>
  <c r="W8" i="28"/>
  <c r="JW8" i="28"/>
  <c r="EW8" i="28"/>
  <c r="IJ8" i="28"/>
  <c r="IW8" i="28"/>
  <c r="CJ8" i="28"/>
  <c r="GW8" i="28"/>
  <c r="JJ8" i="28"/>
  <c r="DW8" i="28"/>
  <c r="HJ8" i="28"/>
  <c r="HW8" i="28"/>
  <c r="BJ8" i="28"/>
  <c r="FW8" i="28"/>
  <c r="CW8" i="28"/>
  <c r="GJ8" i="28"/>
  <c r="EJ8" i="28"/>
  <c r="LJ8" i="28"/>
  <c r="EJ8" i="47"/>
  <c r="AJ8" i="47"/>
  <c r="FW8" i="47"/>
  <c r="W8" i="47"/>
  <c r="HJ8" i="47"/>
  <c r="J8" i="47"/>
  <c r="DW8" i="47"/>
  <c r="EW8" i="47"/>
  <c r="BW8" i="47"/>
  <c r="KW8" i="47"/>
  <c r="GW8" i="47"/>
  <c r="KJ8" i="47"/>
  <c r="LW8" i="47"/>
  <c r="FJ8" i="47"/>
  <c r="JW8" i="47"/>
  <c r="JJ8" i="47"/>
  <c r="DJ8" i="47"/>
  <c r="B8" i="47"/>
  <c r="IJ8" i="47"/>
  <c r="BJ8" i="47"/>
  <c r="LJ8" i="47"/>
  <c r="HW8" i="47"/>
  <c r="CW8" i="47"/>
  <c r="IW8" i="47"/>
  <c r="AW8" i="47"/>
  <c r="GJ8" i="47"/>
  <c r="CJ8" i="47"/>
  <c r="E7" i="47"/>
  <c r="I6" i="61"/>
  <c r="M5" i="61"/>
  <c r="DL67" i="28"/>
  <c r="LY67" i="28"/>
  <c r="U27" i="69"/>
  <c r="AA27" i="69"/>
  <c r="AA33" i="69"/>
  <c r="CL67" i="47"/>
  <c r="EY67" i="47"/>
  <c r="BY67" i="47"/>
  <c r="KY67" i="47"/>
  <c r="JY67" i="47"/>
  <c r="FY67" i="47"/>
  <c r="LY67" i="47"/>
  <c r="IL67" i="47"/>
  <c r="BL67" i="47"/>
  <c r="D67" i="47"/>
  <c r="HY67" i="47"/>
  <c r="AY67" i="47"/>
  <c r="LL67" i="47"/>
  <c r="GY67" i="47"/>
  <c r="AL67" i="47"/>
  <c r="EL67" i="47"/>
  <c r="IY67" i="47"/>
  <c r="JL67" i="47"/>
  <c r="GL67" i="47"/>
  <c r="HL67" i="47"/>
  <c r="DL67" i="47"/>
  <c r="KL67" i="47"/>
  <c r="L67" i="47"/>
  <c r="FL67" i="47"/>
  <c r="Y67" i="47"/>
  <c r="CY67" i="47"/>
  <c r="DY67" i="47"/>
  <c r="V26" i="68"/>
  <c r="U26" i="68"/>
  <c r="AA32" i="68"/>
  <c r="AA26" i="68"/>
  <c r="GJ78" i="28"/>
  <c r="GY80" i="47"/>
  <c r="CY80" i="47"/>
  <c r="LY80" i="47"/>
  <c r="CL80" i="47"/>
  <c r="EL80" i="47"/>
  <c r="BY80" i="47"/>
  <c r="IY80" i="47"/>
  <c r="HL80" i="47"/>
  <c r="DY80" i="47"/>
  <c r="D80" i="47"/>
  <c r="KY80" i="47"/>
  <c r="Y80" i="47"/>
  <c r="BL80" i="47"/>
  <c r="LL80" i="47"/>
  <c r="JY80" i="47"/>
  <c r="GL80" i="47"/>
  <c r="DL80" i="47"/>
  <c r="AL80" i="47"/>
  <c r="KL80" i="47"/>
  <c r="FL80" i="47"/>
  <c r="L80" i="47"/>
  <c r="AY80" i="47"/>
  <c r="JL80" i="47"/>
  <c r="EY80" i="47"/>
  <c r="FY80" i="47"/>
  <c r="IL80" i="47"/>
  <c r="HY80" i="47"/>
  <c r="AA24" i="68"/>
  <c r="V24" i="68"/>
  <c r="AA30" i="68"/>
  <c r="U24" i="68"/>
  <c r="FW78" i="47"/>
  <c r="JJ78" i="47"/>
  <c r="CW78" i="47"/>
  <c r="BJ78" i="47"/>
  <c r="AJ78" i="47"/>
  <c r="FJ78" i="47"/>
  <c r="HW78" i="47"/>
  <c r="JW78" i="47"/>
  <c r="KJ78" i="47"/>
  <c r="DW78" i="47"/>
  <c r="CJ78" i="47"/>
  <c r="EJ78" i="47"/>
  <c r="W78" i="47"/>
  <c r="EW78" i="47"/>
  <c r="KW78" i="47"/>
  <c r="IW78" i="47"/>
  <c r="LJ78" i="47"/>
  <c r="BW78" i="47"/>
  <c r="IJ78" i="47"/>
  <c r="DJ78" i="47"/>
  <c r="AW78" i="47"/>
  <c r="LW78" i="47"/>
  <c r="HJ78" i="47"/>
  <c r="J78" i="47"/>
  <c r="GW78" i="47"/>
  <c r="GJ78" i="47"/>
  <c r="B78" i="47"/>
  <c r="AI60" i="28"/>
  <c r="CI60" i="28"/>
  <c r="IV60" i="28"/>
  <c r="BV60" i="28"/>
  <c r="AV60" i="28"/>
  <c r="GV60" i="28"/>
  <c r="GI60" i="28"/>
  <c r="LI60" i="28"/>
  <c r="LV60" i="28"/>
  <c r="FV60" i="28"/>
  <c r="DI60" i="28"/>
  <c r="KV60" i="28"/>
  <c r="EV60" i="28"/>
  <c r="JI60" i="28"/>
  <c r="CV60" i="28"/>
  <c r="HI60" i="28"/>
  <c r="KI60" i="28"/>
  <c r="BI60" i="28"/>
  <c r="JV60" i="28"/>
  <c r="EI60" i="28"/>
  <c r="I60" i="28"/>
  <c r="DV60" i="28"/>
  <c r="HV60" i="28"/>
  <c r="V60" i="28"/>
  <c r="FI60" i="28"/>
  <c r="AI72" i="47"/>
  <c r="BI72" i="47"/>
  <c r="FV72" i="47"/>
  <c r="E34" i="26"/>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E55" i="26"/>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HI17" i="47"/>
  <c r="KV17" i="47"/>
  <c r="FV17" i="47"/>
  <c r="DI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JI50" i="28"/>
  <c r="FI50" i="28"/>
  <c r="FI63" i="28"/>
  <c r="BI63" i="28"/>
  <c r="X77" i="47"/>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FK77" i="28"/>
  <c r="HX77" i="28"/>
  <c r="FV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LI58"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LI50" i="47"/>
  <c r="EV50" i="47"/>
  <c r="AI50" i="47"/>
  <c r="LV50" i="47"/>
  <c r="V56" i="47" l="1"/>
  <c r="J6" i="68"/>
  <c r="AX45" i="28"/>
  <c r="HK45" i="28"/>
  <c r="JK45" i="28"/>
  <c r="BX45" i="28"/>
  <c r="AI58" i="47"/>
  <c r="EW78" i="28"/>
  <c r="J8" i="69"/>
  <c r="KI69" i="47"/>
  <c r="FI69" i="47"/>
  <c r="CJ78" i="28"/>
  <c r="LJ78" i="28"/>
  <c r="FJ78" i="28"/>
  <c r="EI69" i="47"/>
  <c r="CI69" i="47"/>
  <c r="JJ78" i="28"/>
  <c r="HV69" i="47"/>
  <c r="AI69" i="47"/>
  <c r="GW78" i="28"/>
  <c r="W78" i="28"/>
  <c r="V69" i="47"/>
  <c r="LV69" i="47"/>
  <c r="BJ78" i="28"/>
  <c r="IJ78" i="28"/>
  <c r="LW78" i="28"/>
  <c r="KW78" i="28"/>
  <c r="AJ78" i="28"/>
  <c r="HI69" i="47"/>
  <c r="AV69" i="47"/>
  <c r="CW78" i="28"/>
  <c r="DV69" i="47"/>
  <c r="JI69" i="47"/>
  <c r="FW78" i="28"/>
  <c r="B78" i="28"/>
  <c r="HW78" i="28"/>
  <c r="DJ78" i="28"/>
  <c r="I69" i="47"/>
  <c r="LI69" i="47"/>
  <c r="BI69" i="47"/>
  <c r="KJ78" i="28"/>
  <c r="AW78" i="28"/>
  <c r="FV69" i="47"/>
  <c r="DI69" i="47"/>
  <c r="CV69" i="47"/>
  <c r="JV69" i="47"/>
  <c r="J78" i="28"/>
  <c r="EJ78" i="28"/>
  <c r="GV69" i="47"/>
  <c r="HJ78" i="28"/>
  <c r="IW78" i="28"/>
  <c r="KV69" i="47"/>
  <c r="BV69" i="47"/>
  <c r="EV69" i="47"/>
  <c r="IV69" i="47"/>
  <c r="II69" i="47"/>
  <c r="DW78" i="28"/>
  <c r="JW78" i="28"/>
  <c r="I15" i="66"/>
  <c r="JV63" i="28"/>
  <c r="IV63" i="28"/>
  <c r="DI50" i="28"/>
  <c r="AV50" i="28"/>
  <c r="EI72" i="47"/>
  <c r="JI72" i="47"/>
  <c r="AA30" i="69"/>
  <c r="BV63" i="28"/>
  <c r="HI63" i="28"/>
  <c r="CI50" i="28"/>
  <c r="DV50" i="28"/>
  <c r="DV72" i="47"/>
  <c r="EV72" i="47"/>
  <c r="U24" i="69"/>
  <c r="E54" i="26"/>
  <c r="CI63" i="28"/>
  <c r="V63" i="28"/>
  <c r="GV50" i="28"/>
  <c r="KV50" i="28"/>
  <c r="I16" i="66"/>
  <c r="GI72" i="47"/>
  <c r="I72" i="47"/>
  <c r="V24" i="69"/>
  <c r="FV63" i="28"/>
  <c r="HV50" i="28"/>
  <c r="I17" i="66"/>
  <c r="LV72" i="47"/>
  <c r="HI72" i="47"/>
  <c r="LV46" i="28"/>
  <c r="FV50" i="28"/>
  <c r="V72" i="47"/>
  <c r="KI63" i="28"/>
  <c r="CV63" i="28"/>
  <c r="BV72" i="47"/>
  <c r="GI50" i="28"/>
  <c r="DI72" i="47"/>
  <c r="KV72" i="47"/>
  <c r="I50" i="28"/>
  <c r="II63" i="28"/>
  <c r="BI50" i="28"/>
  <c r="DI63" i="28"/>
  <c r="I63" i="28"/>
  <c r="IV50" i="28"/>
  <c r="LV63" i="28"/>
  <c r="EV63" i="28"/>
  <c r="V50" i="28"/>
  <c r="LV50" i="28"/>
  <c r="LI72" i="47"/>
  <c r="AV72" i="47"/>
  <c r="CI46" i="28"/>
  <c r="DV63" i="28"/>
  <c r="AI63" i="28"/>
  <c r="EI63" i="28"/>
  <c r="HI50" i="28"/>
  <c r="CV50" i="28"/>
  <c r="GV72" i="47"/>
  <c r="IV72" i="47"/>
  <c r="GV63" i="28"/>
  <c r="KV63" i="28"/>
  <c r="LI63" i="28"/>
  <c r="KI50" i="28"/>
  <c r="BV50" i="28"/>
  <c r="CI72" i="47"/>
  <c r="I14" i="66"/>
  <c r="JI63" i="28"/>
  <c r="AI50" i="28"/>
  <c r="FI72" i="47"/>
  <c r="HV63" i="28"/>
  <c r="EI50" i="28"/>
  <c r="JV50" i="28"/>
  <c r="JV72" i="47"/>
  <c r="AV63" i="28"/>
  <c r="EV50" i="28"/>
  <c r="II50" i="28"/>
  <c r="CV72" i="47"/>
  <c r="KI72" i="47"/>
  <c r="HV72" i="47"/>
  <c r="JK23" i="28"/>
  <c r="IK23" i="28"/>
  <c r="K23" i="28"/>
  <c r="LK23" i="28"/>
  <c r="EX23" i="28"/>
  <c r="CL15" i="28"/>
  <c r="HX23" i="28"/>
  <c r="AX23" i="28"/>
  <c r="DX23" i="28"/>
  <c r="CX23" i="28"/>
  <c r="FK23" i="28"/>
  <c r="AK23" i="28"/>
  <c r="X23" i="28"/>
  <c r="FX23" i="28"/>
  <c r="DK23" i="28"/>
  <c r="CX11" i="28"/>
  <c r="CK23" i="28"/>
  <c r="BK23" i="28"/>
  <c r="JX23" i="28"/>
  <c r="KX23" i="28"/>
  <c r="DJ18" i="28"/>
  <c r="HK23" i="28"/>
  <c r="KK23" i="28"/>
  <c r="BX23" i="28"/>
  <c r="EK23" i="28"/>
  <c r="DK77" i="47"/>
  <c r="KY67" i="28"/>
  <c r="IY67" i="28"/>
  <c r="BV50" i="47"/>
  <c r="HI50" i="47"/>
  <c r="FV50" i="47"/>
  <c r="JV17" i="47"/>
  <c r="LI17" i="47"/>
  <c r="AY67" i="28"/>
  <c r="LL67" i="28"/>
  <c r="EI50" i="47"/>
  <c r="FY67" i="28"/>
  <c r="JL67" i="28"/>
  <c r="BY67" i="28"/>
  <c r="AV50" i="47"/>
  <c r="AV17" i="47"/>
  <c r="BI50" i="47"/>
  <c r="KI17" i="47"/>
  <c r="CV17" i="47"/>
  <c r="V27" i="62"/>
  <c r="KL67" i="28"/>
  <c r="CL67" i="28"/>
  <c r="AA27" i="62"/>
  <c r="CY67" i="28"/>
  <c r="BL67" i="28"/>
  <c r="DY67" i="28"/>
  <c r="IV50" i="47"/>
  <c r="AI17" i="47"/>
  <c r="GY67" i="28"/>
  <c r="HL67" i="28"/>
  <c r="GL67" i="28"/>
  <c r="KV50" i="47"/>
  <c r="II50" i="47"/>
  <c r="II17" i="47"/>
  <c r="FI17" i="47"/>
  <c r="Y67" i="28"/>
  <c r="D67" i="28"/>
  <c r="CK67" i="28" s="1"/>
  <c r="FL67" i="28"/>
  <c r="EY67" i="28"/>
  <c r="KI50" i="47"/>
  <c r="LV17" i="47"/>
  <c r="EV17" i="47"/>
  <c r="AA33" i="62"/>
  <c r="BV16" i="47"/>
  <c r="JV50" i="47"/>
  <c r="CI50" i="47"/>
  <c r="JI17" i="47"/>
  <c r="I50" i="47"/>
  <c r="DV50" i="47"/>
  <c r="BI17" i="47"/>
  <c r="BV17" i="47"/>
  <c r="HY67" i="28"/>
  <c r="EL67" i="28"/>
  <c r="GI17" i="47"/>
  <c r="FI50" i="47"/>
  <c r="HV17" i="47"/>
  <c r="DV17" i="47"/>
  <c r="JI50" i="47"/>
  <c r="AL67" i="28"/>
  <c r="GV36" i="28"/>
  <c r="GV50" i="47"/>
  <c r="CI17" i="47"/>
  <c r="CV50" i="47"/>
  <c r="V17" i="47"/>
  <c r="LY80" i="28"/>
  <c r="HV50" i="47"/>
  <c r="DI50" i="47"/>
  <c r="I17" i="47"/>
  <c r="EI17" i="47"/>
  <c r="IL67" i="28"/>
  <c r="GI50" i="47"/>
  <c r="GV17" i="47"/>
  <c r="JY67" i="28"/>
  <c r="LX23" i="28"/>
  <c r="GK23" i="28"/>
  <c r="KK77" i="28"/>
  <c r="DX77" i="28"/>
  <c r="IX11" i="28"/>
  <c r="BV41" i="47"/>
  <c r="JV58" i="28"/>
  <c r="BX77" i="28"/>
  <c r="AX77" i="28"/>
  <c r="FX11" i="28"/>
  <c r="AK77" i="28"/>
  <c r="IV58" i="28"/>
  <c r="GX77" i="28"/>
  <c r="LK77" i="28"/>
  <c r="GX11" i="28"/>
  <c r="HK77" i="28"/>
  <c r="LX77" i="28"/>
  <c r="IX77" i="28"/>
  <c r="AX11" i="28"/>
  <c r="JK77" i="28"/>
  <c r="IK77" i="28"/>
  <c r="FX77" i="28"/>
  <c r="DX11" i="28"/>
  <c r="BX11" i="28"/>
  <c r="CK11" i="28"/>
  <c r="JX77" i="28"/>
  <c r="KX11" i="28"/>
  <c r="BK11" i="28"/>
  <c r="EX77" i="28"/>
  <c r="BK77" i="28"/>
  <c r="GK11" i="28"/>
  <c r="FK11" i="28"/>
  <c r="DK77" i="28"/>
  <c r="AK11" i="28"/>
  <c r="CK77" i="28"/>
  <c r="EK11" i="28"/>
  <c r="EK77" i="28"/>
  <c r="KX77" i="28"/>
  <c r="X11" i="28"/>
  <c r="IK11" i="28"/>
  <c r="K77" i="28"/>
  <c r="X77" i="28"/>
  <c r="DK11" i="28"/>
  <c r="DV41" i="47"/>
  <c r="J8" i="68"/>
  <c r="CI58" i="47"/>
  <c r="EX11" i="28"/>
  <c r="L7" i="69"/>
  <c r="AV7" i="69" s="1"/>
  <c r="V58" i="47"/>
  <c r="HI46" i="28"/>
  <c r="I58" i="47"/>
  <c r="JK11" i="28"/>
  <c r="CV46" i="28"/>
  <c r="JI46" i="28"/>
  <c r="DI58" i="47"/>
  <c r="HI58" i="47"/>
  <c r="HX11" i="28"/>
  <c r="LX11" i="28"/>
  <c r="FI46" i="28"/>
  <c r="IV46" i="28"/>
  <c r="II46" i="28"/>
  <c r="AV58" i="47"/>
  <c r="GI46" i="28"/>
  <c r="LI46" i="28"/>
  <c r="II58" i="47"/>
  <c r="KI46" i="28"/>
  <c r="JV58" i="47"/>
  <c r="FI58" i="47"/>
  <c r="CV58" i="47"/>
  <c r="IV58" i="47"/>
  <c r="AI46" i="28"/>
  <c r="GV46" i="28"/>
  <c r="K5" i="69"/>
  <c r="E47" i="26" s="1"/>
  <c r="EI58" i="47"/>
  <c r="I46" i="28"/>
  <c r="HV58" i="47"/>
  <c r="GI58" i="47"/>
  <c r="JI58" i="47"/>
  <c r="K11" i="28"/>
  <c r="JX11" i="28"/>
  <c r="DI46" i="28"/>
  <c r="BV58" i="47"/>
  <c r="JV46" i="28"/>
  <c r="KI58" i="47"/>
  <c r="LV58" i="47"/>
  <c r="EV58" i="47"/>
  <c r="BV46" i="28"/>
  <c r="V46" i="28"/>
  <c r="DV58" i="47"/>
  <c r="DV46" i="28"/>
  <c r="BI46" i="28"/>
  <c r="BI58" i="47"/>
  <c r="FV58" i="47"/>
  <c r="GV58" i="47"/>
  <c r="KK11" i="28"/>
  <c r="HK11" i="28"/>
  <c r="FV46" i="28"/>
  <c r="KV46" i="28"/>
  <c r="AX77" i="47"/>
  <c r="IX77" i="47"/>
  <c r="LK77" i="47"/>
  <c r="FK77" i="47"/>
  <c r="JX77" i="47"/>
  <c r="CK77" i="47"/>
  <c r="HK77" i="47"/>
  <c r="BK77" i="47"/>
  <c r="FX77" i="47"/>
  <c r="K77" i="47"/>
  <c r="EK77" i="47"/>
  <c r="HX77" i="47"/>
  <c r="AK77" i="47"/>
  <c r="IK77" i="47"/>
  <c r="GK77" i="47"/>
  <c r="JK77" i="47"/>
  <c r="EX77" i="47"/>
  <c r="LX77" i="47"/>
  <c r="CX77" i="47"/>
  <c r="BX77" i="47"/>
  <c r="GX77" i="47"/>
  <c r="DX77" i="47"/>
  <c r="J7" i="68"/>
  <c r="KK77" i="47"/>
  <c r="HI56" i="47"/>
  <c r="EV56" i="47"/>
  <c r="K45" i="28"/>
  <c r="FX45" i="28"/>
  <c r="KK45" i="28"/>
  <c r="HX62" i="28"/>
  <c r="LI56" i="47"/>
  <c r="II56" i="47"/>
  <c r="LV56" i="47"/>
  <c r="LK45" i="28"/>
  <c r="FK45" i="28"/>
  <c r="CX45" i="28"/>
  <c r="IK62" i="28"/>
  <c r="X45" i="28"/>
  <c r="DK45" i="28"/>
  <c r="KK62" i="28"/>
  <c r="FI56" i="47"/>
  <c r="IV56" i="47"/>
  <c r="IX45" i="28"/>
  <c r="CI56" i="47"/>
  <c r="JI56" i="47"/>
  <c r="EI56" i="47"/>
  <c r="JX45" i="28"/>
  <c r="FX62" i="28"/>
  <c r="FK62" i="28"/>
  <c r="DV56" i="47"/>
  <c r="GI56" i="47"/>
  <c r="JV56" i="47"/>
  <c r="L9" i="66"/>
  <c r="R5" i="66" s="1"/>
  <c r="LX45" i="28"/>
  <c r="IK45" i="28"/>
  <c r="HK62" i="28"/>
  <c r="K62" i="28"/>
  <c r="GX45" i="28"/>
  <c r="EX45" i="28"/>
  <c r="BX62" i="28"/>
  <c r="AI56" i="47"/>
  <c r="EK45" i="28"/>
  <c r="DX45" i="28"/>
  <c r="BI56" i="47"/>
  <c r="I56" i="47"/>
  <c r="HV56" i="47"/>
  <c r="AK45" i="28"/>
  <c r="CX62" i="28"/>
  <c r="IX62" i="28"/>
  <c r="BV56" i="47"/>
  <c r="AV56" i="47"/>
  <c r="DI56" i="47"/>
  <c r="BV69" i="28"/>
  <c r="GV56" i="47"/>
  <c r="KI56" i="47"/>
  <c r="CK45" i="28"/>
  <c r="HX45" i="28"/>
  <c r="CV56" i="47"/>
  <c r="KX45" i="28"/>
  <c r="BK45" i="28"/>
  <c r="BK62" i="28"/>
  <c r="LX62" i="28"/>
  <c r="CV31" i="28"/>
  <c r="II31" i="28"/>
  <c r="LV31" i="28"/>
  <c r="KI31" i="28"/>
  <c r="KV31" i="28"/>
  <c r="DV31" i="28"/>
  <c r="AV31" i="28"/>
  <c r="GV31" i="28"/>
  <c r="JV31" i="28"/>
  <c r="V31" i="28"/>
  <c r="BV31" i="28"/>
  <c r="FI31" i="28"/>
  <c r="JI31" i="28"/>
  <c r="BI31" i="28"/>
  <c r="EI31" i="28"/>
  <c r="HI31" i="28"/>
  <c r="HV31" i="28"/>
  <c r="CI31" i="28"/>
  <c r="DI31" i="28"/>
  <c r="I31" i="28"/>
  <c r="AI31" i="28"/>
  <c r="IV31" i="28"/>
  <c r="LI31" i="28"/>
  <c r="GI31" i="28"/>
  <c r="EV31" i="28"/>
  <c r="FV31" i="28"/>
  <c r="EX62" i="28"/>
  <c r="L5" i="69"/>
  <c r="AV5" i="69" s="1"/>
  <c r="JL80" i="28"/>
  <c r="HL80" i="28"/>
  <c r="J76" i="28"/>
  <c r="EX62" i="47"/>
  <c r="BL64" i="47"/>
  <c r="DJ76" i="28"/>
  <c r="LY64" i="47"/>
  <c r="LK62" i="28"/>
  <c r="EY64" i="28"/>
  <c r="CL64" i="28"/>
  <c r="KX62" i="47"/>
  <c r="KX62" i="28"/>
  <c r="JK62" i="28"/>
  <c r="CK62" i="47"/>
  <c r="JY80" i="28"/>
  <c r="AL64" i="47"/>
  <c r="JY64" i="28"/>
  <c r="LL64" i="28"/>
  <c r="LX62" i="47"/>
  <c r="K62" i="47"/>
  <c r="GX62" i="47"/>
  <c r="BW76" i="28"/>
  <c r="CY80" i="28"/>
  <c r="EI46" i="28"/>
  <c r="AV46" i="28"/>
  <c r="HV46" i="28"/>
  <c r="JJ76" i="28"/>
  <c r="LW76" i="28"/>
  <c r="L80" i="28"/>
  <c r="IL80" i="28"/>
  <c r="FL80" i="28"/>
  <c r="KY64" i="47"/>
  <c r="IL64" i="47"/>
  <c r="FL64" i="28"/>
  <c r="KY64" i="28"/>
  <c r="AX62" i="47"/>
  <c r="K60" i="28"/>
  <c r="FJ76" i="28"/>
  <c r="W76" i="28"/>
  <c r="GY80" i="28"/>
  <c r="DY80" i="28"/>
  <c r="GY64" i="47"/>
  <c r="EY64" i="47"/>
  <c r="FY64" i="28"/>
  <c r="DL64" i="28"/>
  <c r="DK62" i="47"/>
  <c r="BL80" i="28"/>
  <c r="GJ76" i="28"/>
  <c r="BY64" i="47"/>
  <c r="LL64" i="47"/>
  <c r="L64" i="28"/>
  <c r="IL64" i="28"/>
  <c r="JX62" i="47"/>
  <c r="IX62" i="47"/>
  <c r="CX62" i="47"/>
  <c r="EW76" i="28"/>
  <c r="HJ76" i="28"/>
  <c r="FW76" i="28"/>
  <c r="BY80" i="28"/>
  <c r="EY80" i="28"/>
  <c r="CY64" i="47"/>
  <c r="Y64" i="47"/>
  <c r="CL64" i="47"/>
  <c r="GL64" i="28"/>
  <c r="Y64" i="28"/>
  <c r="FX62" i="47"/>
  <c r="JK62" i="47"/>
  <c r="GK62" i="47"/>
  <c r="BK62" i="47"/>
  <c r="AJ76" i="28"/>
  <c r="DL64" i="47"/>
  <c r="LJ76" i="28"/>
  <c r="IJ76" i="28"/>
  <c r="D80" i="28"/>
  <c r="GX80" i="28" s="1"/>
  <c r="HY80" i="28"/>
  <c r="GW76" i="28"/>
  <c r="EJ76" i="28"/>
  <c r="IW76" i="28"/>
  <c r="Y80" i="28"/>
  <c r="KL80" i="28"/>
  <c r="AY64" i="47"/>
  <c r="KL64" i="47"/>
  <c r="FL64" i="47"/>
  <c r="AL64" i="28"/>
  <c r="EL64" i="28"/>
  <c r="FK62" i="47"/>
  <c r="GX60" i="28"/>
  <c r="AW76" i="28"/>
  <c r="DY64" i="47"/>
  <c r="JL64" i="28"/>
  <c r="I16" i="64"/>
  <c r="EX60" i="28"/>
  <c r="CW76" i="28"/>
  <c r="JW76" i="28"/>
  <c r="DL80" i="28"/>
  <c r="AY80" i="28"/>
  <c r="IY64" i="47"/>
  <c r="JL64" i="47"/>
  <c r="CY64" i="28"/>
  <c r="D64" i="28"/>
  <c r="LX64" i="28" s="1"/>
  <c r="HY64" i="28"/>
  <c r="KY80" i="28"/>
  <c r="GL80" i="28"/>
  <c r="HL64" i="47"/>
  <c r="HY64" i="47"/>
  <c r="AY64" i="28"/>
  <c r="KJ76" i="28"/>
  <c r="B76" i="28"/>
  <c r="KI76" i="28" s="1"/>
  <c r="AL80" i="28"/>
  <c r="FY80" i="28"/>
  <c r="GL64" i="47"/>
  <c r="EL64" i="47"/>
  <c r="IY64" i="28"/>
  <c r="BL64" i="28"/>
  <c r="BY64" i="28"/>
  <c r="HX62" i="47"/>
  <c r="KK62" i="47"/>
  <c r="KW76" i="28"/>
  <c r="KK60" i="28"/>
  <c r="CJ76" i="28"/>
  <c r="DW76" i="28"/>
  <c r="CL80" i="28"/>
  <c r="LL80" i="28"/>
  <c r="D64" i="47"/>
  <c r="GX64" i="47" s="1"/>
  <c r="JY64" i="47"/>
  <c r="DY64" i="28"/>
  <c r="KL64" i="28"/>
  <c r="HL64" i="28"/>
  <c r="EK62" i="47"/>
  <c r="BX62" i="47"/>
  <c r="DX62" i="47"/>
  <c r="AK60" i="28"/>
  <c r="BJ76" i="28"/>
  <c r="EL80" i="28"/>
  <c r="L64" i="47"/>
  <c r="GY64" i="28"/>
  <c r="LK62" i="47"/>
  <c r="HK62" i="47"/>
  <c r="AK62" i="47"/>
  <c r="X62" i="47"/>
  <c r="AI36" i="28"/>
  <c r="FI69" i="28"/>
  <c r="LI58" i="28"/>
  <c r="BV58" i="28"/>
  <c r="DK48" i="28"/>
  <c r="FI36" i="28"/>
  <c r="HI36" i="28"/>
  <c r="GV58" i="28"/>
  <c r="EX48" i="28"/>
  <c r="EV58" i="28"/>
  <c r="HV36" i="28"/>
  <c r="GI58" i="28"/>
  <c r="HV58" i="28"/>
  <c r="GX48" i="28"/>
  <c r="AV58" i="28"/>
  <c r="DV58" i="28"/>
  <c r="KV36" i="28"/>
  <c r="FV58" i="28"/>
  <c r="LV58" i="28"/>
  <c r="KK48" i="28"/>
  <c r="CI36" i="28"/>
  <c r="DI58" i="28"/>
  <c r="V58" i="28"/>
  <c r="EI58" i="28"/>
  <c r="LV36" i="28"/>
  <c r="JI58" i="28"/>
  <c r="FI58" i="28"/>
  <c r="CV58" i="28"/>
  <c r="I58" i="28"/>
  <c r="DV36" i="28"/>
  <c r="II58" i="28"/>
  <c r="V36" i="28"/>
  <c r="HI58" i="28"/>
  <c r="KV58" i="28"/>
  <c r="AI58" i="28"/>
  <c r="KX44" i="28"/>
  <c r="K44" i="28"/>
  <c r="JX44" i="28"/>
  <c r="EK44" i="28"/>
  <c r="IX44" i="28"/>
  <c r="FK44" i="28"/>
  <c r="DK44" i="28"/>
  <c r="HX44" i="28"/>
  <c r="CK44" i="28"/>
  <c r="GX44" i="28"/>
  <c r="BK44" i="28"/>
  <c r="LK44" i="28"/>
  <c r="AK44" i="28"/>
  <c r="FX44" i="28"/>
  <c r="EX44" i="28"/>
  <c r="KK44" i="28"/>
  <c r="GK44" i="28"/>
  <c r="DX44" i="28"/>
  <c r="IK44" i="28"/>
  <c r="CX44" i="28"/>
  <c r="JK44" i="28"/>
  <c r="BX44" i="28"/>
  <c r="HK44" i="28"/>
  <c r="AX44" i="28"/>
  <c r="LX44" i="28"/>
  <c r="X44" i="28"/>
  <c r="GI36" i="28"/>
  <c r="KI58" i="28"/>
  <c r="LI36" i="28"/>
  <c r="BI58" i="28"/>
  <c r="HX48" i="28"/>
  <c r="DI42" i="28"/>
  <c r="BV42" i="28"/>
  <c r="LI42" i="28"/>
  <c r="AA22" i="68"/>
  <c r="U22" i="68"/>
  <c r="AA28" i="68"/>
  <c r="CX56" i="28"/>
  <c r="EX56" i="28"/>
  <c r="KK56" i="28"/>
  <c r="KV69" i="28"/>
  <c r="IW18" i="28"/>
  <c r="CY15" i="28"/>
  <c r="CX45" i="47"/>
  <c r="IX48" i="28"/>
  <c r="HK48" i="28"/>
  <c r="X48" i="28"/>
  <c r="CI69" i="28"/>
  <c r="JW18" i="28"/>
  <c r="FJ18" i="28"/>
  <c r="IL15" i="28"/>
  <c r="EK48" i="28"/>
  <c r="IK48" i="28"/>
  <c r="JV69" i="28"/>
  <c r="KI69" i="28"/>
  <c r="CV69" i="28"/>
  <c r="I69" i="28"/>
  <c r="CW18" i="28"/>
  <c r="GW18" i="28"/>
  <c r="AY15" i="28"/>
  <c r="LL15" i="28"/>
  <c r="K45" i="47"/>
  <c r="FX48" i="28"/>
  <c r="V69" i="28"/>
  <c r="DI69" i="28"/>
  <c r="HI69" i="28"/>
  <c r="JJ18" i="28"/>
  <c r="BW18" i="28"/>
  <c r="DY15" i="28"/>
  <c r="Y15" i="28"/>
  <c r="J6" i="69"/>
  <c r="IJ18" i="28"/>
  <c r="AI69" i="28"/>
  <c r="BY15" i="28"/>
  <c r="IV69" i="28"/>
  <c r="DV69" i="28"/>
  <c r="GJ18" i="28"/>
  <c r="FY15" i="28"/>
  <c r="LY15" i="28"/>
  <c r="LI69" i="28"/>
  <c r="II69" i="28"/>
  <c r="EI69" i="28"/>
  <c r="EJ18" i="28"/>
  <c r="HL15" i="28"/>
  <c r="D15" i="28"/>
  <c r="KK15" i="28" s="1"/>
  <c r="BJ76" i="47"/>
  <c r="JX48" i="28"/>
  <c r="LJ18" i="28"/>
  <c r="GL15" i="28"/>
  <c r="CK48" i="28"/>
  <c r="AK48" i="28"/>
  <c r="KJ18" i="28"/>
  <c r="BL15" i="28"/>
  <c r="BI69" i="28"/>
  <c r="BJ18" i="28"/>
  <c r="KL15" i="28"/>
  <c r="IY15" i="28"/>
  <c r="W76" i="47"/>
  <c r="DX48" i="28"/>
  <c r="K48" i="28"/>
  <c r="GI69" i="28"/>
  <c r="HY15" i="28"/>
  <c r="IJ76" i="47"/>
  <c r="EV69" i="28"/>
  <c r="GV69" i="28"/>
  <c r="HV69" i="28"/>
  <c r="B18" i="28"/>
  <c r="AI18" i="28" s="1"/>
  <c r="L15" i="28"/>
  <c r="EJ76" i="47"/>
  <c r="GK48" i="28"/>
  <c r="JK48" i="28"/>
  <c r="BK48" i="28"/>
  <c r="FV69" i="28"/>
  <c r="AV69" i="28"/>
  <c r="LV69" i="28"/>
  <c r="LW18" i="28"/>
  <c r="EL15" i="28"/>
  <c r="LK48" i="28"/>
  <c r="LX48" i="28"/>
  <c r="CX48" i="28"/>
  <c r="FK48" i="28"/>
  <c r="CK62" i="28"/>
  <c r="K5" i="67"/>
  <c r="E62" i="26" s="1"/>
  <c r="JX62" i="28"/>
  <c r="X62" i="28"/>
  <c r="AX62" i="28"/>
  <c r="KX48" i="28"/>
  <c r="BX48" i="28"/>
  <c r="J6" i="67"/>
  <c r="J7" i="69"/>
  <c r="BL88" i="28"/>
  <c r="J8" i="67"/>
  <c r="K7" i="69"/>
  <c r="E49" i="26" s="1"/>
  <c r="HY88" i="28"/>
  <c r="JY88" i="28"/>
  <c r="KY88" i="28"/>
  <c r="DY88" i="28"/>
  <c r="EL88" i="28"/>
  <c r="L88" i="28"/>
  <c r="CL88" i="28"/>
  <c r="AY88" i="28"/>
  <c r="BY88" i="28"/>
  <c r="EY88" i="28"/>
  <c r="GY88" i="28"/>
  <c r="AL88" i="28"/>
  <c r="GL88" i="28"/>
  <c r="FL88" i="28"/>
  <c r="KL88" i="28"/>
  <c r="DL88" i="28"/>
  <c r="JL88" i="28"/>
  <c r="IL88" i="28"/>
  <c r="GK62" i="28"/>
  <c r="DK62" i="28"/>
  <c r="Y88" i="28"/>
  <c r="AK62" i="28"/>
  <c r="HL88" i="28"/>
  <c r="L6" i="67"/>
  <c r="AV6" i="67" s="1"/>
  <c r="J7" i="67"/>
  <c r="J5" i="67"/>
  <c r="V27" i="67"/>
  <c r="K6" i="67"/>
  <c r="E63" i="26" s="1"/>
  <c r="AK88" i="47"/>
  <c r="L5" i="67"/>
  <c r="AV5" i="67" s="1"/>
  <c r="K5" i="68"/>
  <c r="E57" i="26" s="1"/>
  <c r="JK88" i="47"/>
  <c r="AA27" i="67"/>
  <c r="AA33" i="67"/>
  <c r="LY88" i="28"/>
  <c r="FY88" i="28"/>
  <c r="CY88" i="28"/>
  <c r="LL88" i="28"/>
  <c r="D88" i="28"/>
  <c r="AJ18" i="28"/>
  <c r="HW18" i="28"/>
  <c r="KY15" i="28"/>
  <c r="L8" i="67"/>
  <c r="AV8" i="67" s="1"/>
  <c r="K8" i="67"/>
  <c r="L7" i="67"/>
  <c r="K7" i="67"/>
  <c r="L6" i="69"/>
  <c r="AV6" i="69" s="1"/>
  <c r="KK88" i="47"/>
  <c r="CK88" i="47"/>
  <c r="EK88" i="47"/>
  <c r="GK88" i="47"/>
  <c r="IK88" i="47"/>
  <c r="CX88" i="47"/>
  <c r="AX88" i="47"/>
  <c r="DK88" i="47"/>
  <c r="GX88" i="47"/>
  <c r="EX88" i="47"/>
  <c r="KX88" i="47"/>
  <c r="IX88" i="47"/>
  <c r="K88" i="47"/>
  <c r="BK88" i="47"/>
  <c r="LK88" i="47"/>
  <c r="X88" i="47"/>
  <c r="FK88" i="47"/>
  <c r="BX88" i="47"/>
  <c r="DX88" i="47"/>
  <c r="FX88" i="47"/>
  <c r="HX88" i="47"/>
  <c r="JX88" i="47"/>
  <c r="LX88" i="47"/>
  <c r="II22" i="47"/>
  <c r="I22" i="47"/>
  <c r="E58" i="26"/>
  <c r="J5" i="69"/>
  <c r="JV41" i="47"/>
  <c r="LI41" i="47"/>
  <c r="AV41" i="47"/>
  <c r="BI41" i="47"/>
  <c r="KI41" i="47"/>
  <c r="II41" i="47"/>
  <c r="K6" i="69"/>
  <c r="E48" i="26" s="1"/>
  <c r="L8" i="69"/>
  <c r="AV8" i="69" s="1"/>
  <c r="GV41" i="47"/>
  <c r="KV41" i="47"/>
  <c r="FV41" i="47"/>
  <c r="KL13" i="47"/>
  <c r="CI41" i="47"/>
  <c r="HV41" i="47"/>
  <c r="FI41" i="47"/>
  <c r="L5" i="68"/>
  <c r="AV5" i="68" s="1"/>
  <c r="CV41" i="47"/>
  <c r="HI41" i="47"/>
  <c r="V41" i="47"/>
  <c r="EV41" i="47"/>
  <c r="DI41" i="47"/>
  <c r="L8" i="68"/>
  <c r="AV8" i="68" s="1"/>
  <c r="J5" i="68"/>
  <c r="DX62" i="28"/>
  <c r="EK62" i="28"/>
  <c r="L6" i="68"/>
  <c r="AV6" i="68" s="1"/>
  <c r="II42" i="28"/>
  <c r="AV42" i="28"/>
  <c r="LV42" i="28"/>
  <c r="I42" i="47"/>
  <c r="EV42" i="28"/>
  <c r="CI42" i="28"/>
  <c r="KV42" i="47"/>
  <c r="JV42" i="28"/>
  <c r="JI42" i="28"/>
  <c r="HV42" i="28"/>
  <c r="FI42" i="47"/>
  <c r="KI42" i="28"/>
  <c r="FI42" i="28"/>
  <c r="L9" i="64"/>
  <c r="R5" i="64" s="1"/>
  <c r="EI42" i="28"/>
  <c r="K8" i="68"/>
  <c r="E60" i="26" s="1"/>
  <c r="I42" i="28"/>
  <c r="CV42" i="28"/>
  <c r="V42" i="28"/>
  <c r="FV42" i="28"/>
  <c r="KV42" i="28"/>
  <c r="GV42" i="28"/>
  <c r="BI42" i="28"/>
  <c r="GI42" i="28"/>
  <c r="AI42" i="28"/>
  <c r="HI42" i="28"/>
  <c r="DV42" i="28"/>
  <c r="K7" i="68"/>
  <c r="E59" i="26" s="1"/>
  <c r="I16" i="65"/>
  <c r="JX60" i="28"/>
  <c r="GJ76" i="47"/>
  <c r="HW76" i="47"/>
  <c r="I17" i="65"/>
  <c r="HX60" i="28"/>
  <c r="GK60" i="28"/>
  <c r="CK60" i="28"/>
  <c r="BW76" i="47"/>
  <c r="LJ76" i="47"/>
  <c r="BK60" i="28"/>
  <c r="HK60" i="28"/>
  <c r="DJ76" i="47"/>
  <c r="EW76" i="47"/>
  <c r="I15" i="65"/>
  <c r="FX60" i="28"/>
  <c r="JW76" i="47"/>
  <c r="B76" i="47"/>
  <c r="II76" i="47" s="1"/>
  <c r="AW76" i="47"/>
  <c r="I14" i="65"/>
  <c r="IX60" i="28"/>
  <c r="FW76" i="47"/>
  <c r="KJ76" i="47"/>
  <c r="DW76" i="47"/>
  <c r="L7" i="68"/>
  <c r="AV7" i="68" s="1"/>
  <c r="AX60" i="28"/>
  <c r="IK60" i="28"/>
  <c r="J76" i="47"/>
  <c r="AJ76" i="47"/>
  <c r="HJ76" i="47"/>
  <c r="KX60" i="28"/>
  <c r="DK60" i="28"/>
  <c r="JJ76" i="47"/>
  <c r="FJ76" i="47"/>
  <c r="BX60" i="28"/>
  <c r="FK60" i="28"/>
  <c r="EK60" i="28"/>
  <c r="LW76" i="47"/>
  <c r="GW76" i="47"/>
  <c r="I17" i="64"/>
  <c r="I14" i="64"/>
  <c r="X60" i="28"/>
  <c r="LK60" i="28"/>
  <c r="CJ76" i="47"/>
  <c r="CW76" i="47"/>
  <c r="I15" i="64"/>
  <c r="CX60" i="28"/>
  <c r="DX60" i="28"/>
  <c r="LX60" i="28"/>
  <c r="KW76" i="47"/>
  <c r="BV36" i="28"/>
  <c r="AV24" i="47"/>
  <c r="I36" i="28"/>
  <c r="FV36" i="28"/>
  <c r="HK56" i="28"/>
  <c r="CK56" i="28"/>
  <c r="LX56" i="28"/>
  <c r="IX56" i="28"/>
  <c r="L9" i="65"/>
  <c r="R8" i="65" s="1"/>
  <c r="DK56" i="28"/>
  <c r="BX56" i="28"/>
  <c r="BK56" i="28"/>
  <c r="GK56" i="28"/>
  <c r="GX56" i="28"/>
  <c r="K56" i="28"/>
  <c r="JX56" i="28"/>
  <c r="EK56" i="28"/>
  <c r="DX56" i="28"/>
  <c r="JK56" i="28"/>
  <c r="KX56" i="28"/>
  <c r="K8" i="69"/>
  <c r="HX56" i="28"/>
  <c r="AX56" i="28"/>
  <c r="X56" i="28"/>
  <c r="FK56" i="28"/>
  <c r="FX56" i="28"/>
  <c r="AK56" i="28"/>
  <c r="IK56" i="28"/>
  <c r="FW18" i="28"/>
  <c r="DW18" i="28"/>
  <c r="JL15" i="28"/>
  <c r="AL15" i="28"/>
  <c r="AW18" i="28"/>
  <c r="KW18" i="28"/>
  <c r="FL15" i="28"/>
  <c r="JY15" i="28"/>
  <c r="HJ18" i="28"/>
  <c r="J18" i="28"/>
  <c r="W18" i="28"/>
  <c r="EW18" i="28"/>
  <c r="EY15" i="28"/>
  <c r="GY15" i="28"/>
  <c r="GI41" i="47"/>
  <c r="J5" i="62"/>
  <c r="BL13" i="47"/>
  <c r="DV23" i="47"/>
  <c r="IY13" i="47"/>
  <c r="AI23" i="47"/>
  <c r="IV36" i="28"/>
  <c r="CV36" i="28"/>
  <c r="AV36" i="28"/>
  <c r="CY13" i="47"/>
  <c r="HI23" i="47"/>
  <c r="KI16" i="47"/>
  <c r="GV23" i="47"/>
  <c r="JI36" i="28"/>
  <c r="DI36" i="28"/>
  <c r="GI23" i="47"/>
  <c r="BV23" i="47"/>
  <c r="IV23" i="47"/>
  <c r="II23" i="47"/>
  <c r="II36" i="28"/>
  <c r="EV36" i="28"/>
  <c r="KV23" i="47"/>
  <c r="JI23" i="47"/>
  <c r="JV36" i="28"/>
  <c r="BI36" i="28"/>
  <c r="EI36" i="28"/>
  <c r="EI23" i="47"/>
  <c r="AI67" i="28"/>
  <c r="KI67" i="28"/>
  <c r="HI67" i="28"/>
  <c r="HV67" i="28"/>
  <c r="GV67" i="28"/>
  <c r="CV67" i="28"/>
  <c r="FV67" i="28"/>
  <c r="JV67" i="28"/>
  <c r="LV67" i="28"/>
  <c r="EI67" i="28"/>
  <c r="GI67" i="28"/>
  <c r="BV67" i="28"/>
  <c r="EV67" i="28"/>
  <c r="KV67" i="28"/>
  <c r="V67" i="28"/>
  <c r="DI67" i="28"/>
  <c r="LI67" i="28"/>
  <c r="AV67" i="28"/>
  <c r="IV67" i="28"/>
  <c r="JI67" i="28"/>
  <c r="II67" i="28"/>
  <c r="DV67" i="28"/>
  <c r="CI67" i="28"/>
  <c r="BI67" i="28"/>
  <c r="I67" i="28"/>
  <c r="FI67" i="28"/>
  <c r="HI64" i="28"/>
  <c r="DI64" i="28"/>
  <c r="II64" i="28"/>
  <c r="BV64" i="28"/>
  <c r="I64" i="28"/>
  <c r="HV64" i="28"/>
  <c r="CI64" i="28"/>
  <c r="CV64" i="28"/>
  <c r="KI64" i="28"/>
  <c r="BI64" i="28"/>
  <c r="GI64" i="28"/>
  <c r="FV64" i="28"/>
  <c r="EI64" i="28"/>
  <c r="AV64" i="28"/>
  <c r="KV64" i="28"/>
  <c r="IV64" i="28"/>
  <c r="V64" i="28"/>
  <c r="LV64" i="28"/>
  <c r="GV64" i="28"/>
  <c r="DV64" i="28"/>
  <c r="FI64" i="28"/>
  <c r="JI64" i="28"/>
  <c r="AI64" i="28"/>
  <c r="LI64" i="28"/>
  <c r="JV64" i="28"/>
  <c r="EV64" i="28"/>
  <c r="JV64" i="47"/>
  <c r="CV64" i="47"/>
  <c r="V64" i="47"/>
  <c r="DI64" i="47"/>
  <c r="GV64" i="47"/>
  <c r="I64" i="47"/>
  <c r="KI64" i="47"/>
  <c r="KV64" i="47"/>
  <c r="AV64" i="47"/>
  <c r="HV64" i="47"/>
  <c r="GI64" i="47"/>
  <c r="BI64" i="47"/>
  <c r="II64" i="47"/>
  <c r="AI64" i="47"/>
  <c r="DV64" i="47"/>
  <c r="IV64" i="47"/>
  <c r="CI64" i="47"/>
  <c r="JI64" i="47"/>
  <c r="BV64" i="47"/>
  <c r="FI64" i="47"/>
  <c r="LV64" i="47"/>
  <c r="HI64" i="47"/>
  <c r="EI64" i="47"/>
  <c r="LI64" i="47"/>
  <c r="FV64" i="47"/>
  <c r="EV64" i="47"/>
  <c r="HI67" i="47"/>
  <c r="CV67" i="47"/>
  <c r="DV67" i="47"/>
  <c r="FI67" i="47"/>
  <c r="BI67" i="47"/>
  <c r="DI67" i="47"/>
  <c r="CI67" i="47"/>
  <c r="KI67" i="47"/>
  <c r="GI67" i="47"/>
  <c r="HV67" i="47"/>
  <c r="GV67" i="47"/>
  <c r="BV67" i="47"/>
  <c r="I67" i="47"/>
  <c r="JV67" i="47"/>
  <c r="LV67" i="47"/>
  <c r="FV67" i="47"/>
  <c r="IV67" i="47"/>
  <c r="AV67" i="47"/>
  <c r="EI67" i="47"/>
  <c r="KV67" i="47"/>
  <c r="AI67" i="47"/>
  <c r="EV67" i="47"/>
  <c r="LI67" i="47"/>
  <c r="V67" i="47"/>
  <c r="JI67" i="47"/>
  <c r="II67" i="47"/>
  <c r="K66" i="47"/>
  <c r="GX66" i="47"/>
  <c r="IX66" i="47"/>
  <c r="DX66" i="47"/>
  <c r="DK66" i="47"/>
  <c r="X66" i="47"/>
  <c r="CX66" i="47"/>
  <c r="KK66" i="47"/>
  <c r="KX66" i="47"/>
  <c r="HK66" i="47"/>
  <c r="FX66" i="47"/>
  <c r="CK66" i="47"/>
  <c r="BX66" i="47"/>
  <c r="JK66" i="47"/>
  <c r="IK66" i="47"/>
  <c r="LX66" i="47"/>
  <c r="GK66" i="47"/>
  <c r="FK66" i="47"/>
  <c r="HX66" i="47"/>
  <c r="BK66" i="47"/>
  <c r="AK66" i="47"/>
  <c r="EX66" i="47"/>
  <c r="JX66" i="47"/>
  <c r="AX66" i="47"/>
  <c r="EK66" i="47"/>
  <c r="LK66" i="47"/>
  <c r="JX66" i="28"/>
  <c r="FX66" i="28"/>
  <c r="CK66" i="28"/>
  <c r="LK66" i="28"/>
  <c r="BX66" i="28"/>
  <c r="GK66" i="28"/>
  <c r="K66" i="28"/>
  <c r="KX66" i="28"/>
  <c r="BK66" i="28"/>
  <c r="EX66" i="28"/>
  <c r="HX66" i="28"/>
  <c r="JK66" i="28"/>
  <c r="DX66" i="28"/>
  <c r="GX66" i="28"/>
  <c r="AX66" i="28"/>
  <c r="FK66" i="28"/>
  <c r="AK66" i="28"/>
  <c r="IX66" i="28"/>
  <c r="X66" i="28"/>
  <c r="DK66" i="28"/>
  <c r="CX66" i="28"/>
  <c r="IK66" i="28"/>
  <c r="KK66" i="28"/>
  <c r="LX66" i="28"/>
  <c r="HK66" i="28"/>
  <c r="EK66" i="28"/>
  <c r="HV42" i="47"/>
  <c r="I14" i="72"/>
  <c r="EV42" i="47"/>
  <c r="I17" i="72"/>
  <c r="IV42" i="47"/>
  <c r="KI42" i="47"/>
  <c r="V42" i="47"/>
  <c r="CI42" i="47"/>
  <c r="GI42" i="47"/>
  <c r="DV42" i="47"/>
  <c r="DI42" i="47"/>
  <c r="I15" i="72"/>
  <c r="JV42" i="47"/>
  <c r="II42" i="47"/>
  <c r="LI42" i="47"/>
  <c r="FV42" i="47"/>
  <c r="BI42" i="47"/>
  <c r="JI42" i="47"/>
  <c r="EI42" i="47"/>
  <c r="CV42" i="47"/>
  <c r="GV42" i="47"/>
  <c r="AV42" i="47"/>
  <c r="BV42" i="47"/>
  <c r="LV42" i="47"/>
  <c r="HI42" i="47"/>
  <c r="I16" i="72"/>
  <c r="BY13" i="47"/>
  <c r="EI41" i="47"/>
  <c r="I41" i="47"/>
  <c r="LV41" i="47"/>
  <c r="JI41" i="47"/>
  <c r="AI41" i="47"/>
  <c r="FY13" i="47"/>
  <c r="EV46" i="47"/>
  <c r="AA29" i="61"/>
  <c r="AA23" i="61"/>
  <c r="LV55" i="47"/>
  <c r="DI55" i="47"/>
  <c r="JV55" i="47"/>
  <c r="II55" i="47"/>
  <c r="FV55" i="47"/>
  <c r="CV55" i="47"/>
  <c r="V55" i="47"/>
  <c r="BI55" i="47"/>
  <c r="KV55" i="47"/>
  <c r="HV55" i="47"/>
  <c r="LI55" i="47"/>
  <c r="HI55" i="47"/>
  <c r="AV55" i="47"/>
  <c r="FI55" i="47"/>
  <c r="DV55" i="47"/>
  <c r="I55" i="47"/>
  <c r="CI55" i="47"/>
  <c r="IV55" i="47"/>
  <c r="EI55" i="47"/>
  <c r="GV55" i="47"/>
  <c r="EV55" i="47"/>
  <c r="BV55" i="47"/>
  <c r="GI55" i="47"/>
  <c r="KI55" i="47"/>
  <c r="AI55" i="47"/>
  <c r="JI55" i="47"/>
  <c r="JI57" i="47"/>
  <c r="DV57" i="47"/>
  <c r="GV57" i="47"/>
  <c r="KI57" i="47"/>
  <c r="BI57" i="47"/>
  <c r="HV57" i="47"/>
  <c r="II57" i="47"/>
  <c r="HI57" i="47"/>
  <c r="EV57" i="47"/>
  <c r="KV57" i="47"/>
  <c r="LI57" i="47"/>
  <c r="BV57" i="47"/>
  <c r="GI57" i="47"/>
  <c r="JV57" i="47"/>
  <c r="FV57" i="47"/>
  <c r="CI57" i="47"/>
  <c r="EI57" i="47"/>
  <c r="CV57" i="47"/>
  <c r="AI57" i="47"/>
  <c r="I57" i="47"/>
  <c r="IV57" i="47"/>
  <c r="LV57" i="47"/>
  <c r="DI57" i="47"/>
  <c r="FI57" i="47"/>
  <c r="V57" i="47"/>
  <c r="AV57" i="47"/>
  <c r="AI46" i="47"/>
  <c r="EI55" i="28"/>
  <c r="DI55" i="28"/>
  <c r="KI55" i="28"/>
  <c r="CV55" i="28"/>
  <c r="IV55" i="28"/>
  <c r="CI55" i="28"/>
  <c r="FI55" i="28"/>
  <c r="FV55" i="28"/>
  <c r="BI55" i="28"/>
  <c r="BV55" i="28"/>
  <c r="AV55" i="28"/>
  <c r="I55" i="28"/>
  <c r="HI55" i="28"/>
  <c r="JV55" i="28"/>
  <c r="JI55" i="28"/>
  <c r="GV55" i="28"/>
  <c r="LV55" i="28"/>
  <c r="GI55" i="28"/>
  <c r="AI55" i="28"/>
  <c r="KV55" i="28"/>
  <c r="LI55" i="28"/>
  <c r="II55" i="28"/>
  <c r="EV55" i="28"/>
  <c r="V55" i="28"/>
  <c r="HV55" i="28"/>
  <c r="DV55" i="28"/>
  <c r="GV57" i="28"/>
  <c r="DI57" i="28"/>
  <c r="FI57" i="28"/>
  <c r="IV57" i="28"/>
  <c r="LV57" i="28"/>
  <c r="DV57" i="28"/>
  <c r="CV57" i="28"/>
  <c r="KI57" i="28"/>
  <c r="LI57" i="28"/>
  <c r="I57" i="28"/>
  <c r="JI57" i="28"/>
  <c r="CI57" i="28"/>
  <c r="II57" i="28"/>
  <c r="BV57" i="28"/>
  <c r="HI57" i="28"/>
  <c r="BI57" i="28"/>
  <c r="FV57" i="28"/>
  <c r="EI57" i="28"/>
  <c r="GI57" i="28"/>
  <c r="AV57" i="28"/>
  <c r="JV57" i="28"/>
  <c r="AI57" i="28"/>
  <c r="HV57" i="28"/>
  <c r="V57" i="28"/>
  <c r="KV57" i="28"/>
  <c r="EV57" i="28"/>
  <c r="DV46" i="47"/>
  <c r="IL13" i="28"/>
  <c r="EV22" i="47"/>
  <c r="HY13" i="28"/>
  <c r="GV46" i="47"/>
  <c r="I14" i="71"/>
  <c r="AI24" i="47"/>
  <c r="EI22" i="47"/>
  <c r="DV24" i="47"/>
  <c r="V22" i="47"/>
  <c r="KY13" i="47"/>
  <c r="I17" i="71"/>
  <c r="I16" i="71"/>
  <c r="I15" i="71"/>
  <c r="DV22" i="47"/>
  <c r="LV23" i="47"/>
  <c r="DI23" i="47"/>
  <c r="LV46" i="47"/>
  <c r="BV22" i="47"/>
  <c r="GV22" i="47"/>
  <c r="FV23" i="47"/>
  <c r="KI23" i="47"/>
  <c r="CV23" i="47"/>
  <c r="V23" i="47"/>
  <c r="LV22" i="47"/>
  <c r="FI46" i="47"/>
  <c r="EV23" i="47"/>
  <c r="LI46" i="47"/>
  <c r="KI22" i="47"/>
  <c r="KX45" i="47"/>
  <c r="L9" i="71"/>
  <c r="R5" i="71" s="1"/>
  <c r="EX45" i="47"/>
  <c r="GK45" i="47"/>
  <c r="CK45" i="47"/>
  <c r="EK45" i="47"/>
  <c r="DW30" i="28"/>
  <c r="X45" i="47"/>
  <c r="LK45" i="47"/>
  <c r="JJ30" i="28"/>
  <c r="IK45" i="47"/>
  <c r="HK45" i="47"/>
  <c r="IX45" i="47"/>
  <c r="FK45" i="47"/>
  <c r="DX45" i="47"/>
  <c r="BK45" i="47"/>
  <c r="AX45" i="47"/>
  <c r="AK45" i="47"/>
  <c r="JX45" i="47"/>
  <c r="LX45" i="47"/>
  <c r="DK45" i="47"/>
  <c r="JK45" i="47"/>
  <c r="GX45" i="47"/>
  <c r="BI46" i="47"/>
  <c r="HX45" i="47"/>
  <c r="BX45" i="47"/>
  <c r="LI22" i="47"/>
  <c r="KV22" i="47"/>
  <c r="FX45" i="47"/>
  <c r="EJ30" i="28"/>
  <c r="CI46" i="47"/>
  <c r="CV22" i="47"/>
  <c r="FI22" i="47"/>
  <c r="IV22" i="47"/>
  <c r="GI22" i="47"/>
  <c r="CI22" i="47"/>
  <c r="AV22" i="47"/>
  <c r="DI22" i="47"/>
  <c r="BI22" i="47"/>
  <c r="JI22" i="47"/>
  <c r="I46" i="47"/>
  <c r="AI22" i="47"/>
  <c r="EI46" i="47"/>
  <c r="JV22" i="47"/>
  <c r="CV46" i="47"/>
  <c r="FV22" i="47"/>
  <c r="HV22" i="47"/>
  <c r="HV46" i="47"/>
  <c r="JI46" i="47"/>
  <c r="I14" i="63"/>
  <c r="L9" i="72"/>
  <c r="R5" i="72" s="1"/>
  <c r="HI46" i="47"/>
  <c r="AV46" i="47"/>
  <c r="GI46" i="47"/>
  <c r="KI46" i="47"/>
  <c r="FV46" i="47"/>
  <c r="BV46" i="47"/>
  <c r="II46" i="47"/>
  <c r="JV46" i="47"/>
  <c r="V46" i="47"/>
  <c r="DI46" i="47"/>
  <c r="KV46" i="47"/>
  <c r="JI24" i="47"/>
  <c r="EV24" i="47"/>
  <c r="KI24" i="47"/>
  <c r="BV24" i="47"/>
  <c r="DI24" i="47"/>
  <c r="LV24" i="47"/>
  <c r="V24" i="47"/>
  <c r="BI24" i="47"/>
  <c r="II24" i="47"/>
  <c r="IV24" i="47"/>
  <c r="JV24" i="47"/>
  <c r="HI24" i="47"/>
  <c r="CV24" i="47"/>
  <c r="L9" i="63"/>
  <c r="R7" i="63" s="1"/>
  <c r="EI24" i="47"/>
  <c r="CI24" i="47"/>
  <c r="FV24" i="47"/>
  <c r="I24" i="47"/>
  <c r="GI24" i="47"/>
  <c r="LI24" i="47"/>
  <c r="KV24" i="47"/>
  <c r="GV24" i="47"/>
  <c r="FI24" i="47"/>
  <c r="FI23" i="47"/>
  <c r="LI23" i="47"/>
  <c r="JV23" i="47"/>
  <c r="BI23" i="47"/>
  <c r="HV23" i="47"/>
  <c r="CI23" i="47"/>
  <c r="I16" i="63"/>
  <c r="I15" i="63"/>
  <c r="I17" i="63"/>
  <c r="AV23" i="47"/>
  <c r="K6" i="70"/>
  <c r="E23" i="26" s="1"/>
  <c r="II41" i="28"/>
  <c r="HV41" i="28"/>
  <c r="HI41" i="28"/>
  <c r="CV41" i="28"/>
  <c r="FV41" i="28"/>
  <c r="I41" i="28"/>
  <c r="CI41" i="28"/>
  <c r="LV41" i="28"/>
  <c r="BV41" i="28"/>
  <c r="KV41" i="28"/>
  <c r="JV41" i="28"/>
  <c r="BI41" i="28"/>
  <c r="LI41" i="28"/>
  <c r="JI41" i="28"/>
  <c r="AV41" i="28"/>
  <c r="KI41" i="28"/>
  <c r="GI41" i="28"/>
  <c r="EI41" i="28"/>
  <c r="IV41" i="28"/>
  <c r="AI41" i="28"/>
  <c r="GV41" i="28"/>
  <c r="EV41" i="28"/>
  <c r="FI41" i="28"/>
  <c r="V41" i="28"/>
  <c r="DV41" i="28"/>
  <c r="DI41" i="28"/>
  <c r="FV16" i="47"/>
  <c r="GI16" i="47"/>
  <c r="U24" i="62"/>
  <c r="HI16" i="47"/>
  <c r="KV16" i="47"/>
  <c r="HV16" i="47"/>
  <c r="GV16" i="47"/>
  <c r="DI16" i="47"/>
  <c r="BI16" i="47"/>
  <c r="JV16" i="47"/>
  <c r="II16" i="47"/>
  <c r="DV16" i="47"/>
  <c r="V16" i="47"/>
  <c r="CI16" i="47"/>
  <c r="I16" i="47"/>
  <c r="IV16" i="47"/>
  <c r="L6" i="70"/>
  <c r="AV6" i="70" s="1"/>
  <c r="AV16" i="47"/>
  <c r="AI16" i="47"/>
  <c r="EV16" i="47"/>
  <c r="EI16" i="47"/>
  <c r="LV16" i="47"/>
  <c r="LI16" i="47"/>
  <c r="EK42" i="47"/>
  <c r="JK42" i="47"/>
  <c r="AK42" i="47"/>
  <c r="X42" i="47"/>
  <c r="EX42" i="47"/>
  <c r="GK42" i="47"/>
  <c r="BX42" i="47"/>
  <c r="K42" i="47"/>
  <c r="HX42" i="47"/>
  <c r="KX42" i="47"/>
  <c r="KK42" i="47"/>
  <c r="DK42" i="47"/>
  <c r="IK42" i="47"/>
  <c r="CX42" i="47"/>
  <c r="CK42" i="47"/>
  <c r="FK42" i="47"/>
  <c r="DX42" i="47"/>
  <c r="HK42" i="47"/>
  <c r="LK42" i="47"/>
  <c r="FX42" i="47"/>
  <c r="IX42" i="47"/>
  <c r="AX42" i="47"/>
  <c r="BK42" i="47"/>
  <c r="JX42" i="47"/>
  <c r="LX42" i="47"/>
  <c r="GX42" i="47"/>
  <c r="IX42" i="28"/>
  <c r="EK42" i="28"/>
  <c r="CX42" i="28"/>
  <c r="JX42" i="28"/>
  <c r="BK42" i="28"/>
  <c r="KX42" i="28"/>
  <c r="KK42" i="28"/>
  <c r="GX42" i="28"/>
  <c r="X42" i="28"/>
  <c r="GK42" i="28"/>
  <c r="BX42" i="28"/>
  <c r="K42" i="28"/>
  <c r="EX42" i="28"/>
  <c r="AK42" i="28"/>
  <c r="DK42" i="28"/>
  <c r="JK42" i="28"/>
  <c r="IK42" i="28"/>
  <c r="LX42" i="28"/>
  <c r="HX42" i="28"/>
  <c r="LK42" i="28"/>
  <c r="FX42" i="28"/>
  <c r="HK42" i="28"/>
  <c r="DX42" i="28"/>
  <c r="AX42" i="28"/>
  <c r="CK42" i="28"/>
  <c r="FK42" i="28"/>
  <c r="HX34" i="47"/>
  <c r="BK34" i="47"/>
  <c r="DX34" i="47"/>
  <c r="IX34" i="47"/>
  <c r="EX34" i="47"/>
  <c r="AX34" i="47"/>
  <c r="KX34" i="47"/>
  <c r="LK34" i="47"/>
  <c r="JX34" i="47"/>
  <c r="EK34" i="47"/>
  <c r="AK34" i="47"/>
  <c r="GK34" i="47"/>
  <c r="HK34" i="47"/>
  <c r="BX34" i="47"/>
  <c r="FK34" i="47"/>
  <c r="K34" i="47"/>
  <c r="CX34" i="47"/>
  <c r="JK34" i="47"/>
  <c r="GX34" i="47"/>
  <c r="IK34" i="47"/>
  <c r="CK34" i="47"/>
  <c r="DK34" i="47"/>
  <c r="X34" i="47"/>
  <c r="KK34" i="47"/>
  <c r="LX34" i="47"/>
  <c r="FX34" i="47"/>
  <c r="K7" i="70"/>
  <c r="E24" i="26" s="1"/>
  <c r="FI16" i="47"/>
  <c r="CV16" i="47"/>
  <c r="V22" i="62"/>
  <c r="U23" i="61"/>
  <c r="J6" i="70"/>
  <c r="L5" i="70"/>
  <c r="AV5" i="70" s="1"/>
  <c r="AA31" i="70"/>
  <c r="K8" i="70"/>
  <c r="E25" i="26" s="1"/>
  <c r="AA25" i="70"/>
  <c r="JV29" i="47"/>
  <c r="AI29" i="47"/>
  <c r="GI29" i="47"/>
  <c r="HI29" i="47"/>
  <c r="I29" i="47"/>
  <c r="EV29" i="47"/>
  <c r="IV29" i="47"/>
  <c r="AV29" i="47"/>
  <c r="II29" i="47"/>
  <c r="BV29" i="47"/>
  <c r="LV29" i="47"/>
  <c r="FI29" i="47"/>
  <c r="CV29" i="47"/>
  <c r="DI29" i="47"/>
  <c r="KI29" i="47"/>
  <c r="EI29" i="47"/>
  <c r="V29" i="47"/>
  <c r="KV29" i="47"/>
  <c r="LI29" i="47"/>
  <c r="FV29" i="47"/>
  <c r="DV29" i="47"/>
  <c r="HV29" i="47"/>
  <c r="CI29" i="47"/>
  <c r="JI29" i="47"/>
  <c r="GV29" i="47"/>
  <c r="BI29" i="47"/>
  <c r="HV22" i="28"/>
  <c r="FI22" i="28"/>
  <c r="DI22" i="28"/>
  <c r="GV22" i="28"/>
  <c r="EI22" i="28"/>
  <c r="V22" i="28"/>
  <c r="FV22" i="28"/>
  <c r="KI22" i="28"/>
  <c r="BI22" i="28"/>
  <c r="DV22" i="28"/>
  <c r="JI22" i="28"/>
  <c r="AI22" i="28"/>
  <c r="II22" i="28"/>
  <c r="CI22" i="28"/>
  <c r="EV22" i="28"/>
  <c r="AV22" i="28"/>
  <c r="LV22" i="28"/>
  <c r="KV22" i="28"/>
  <c r="CV22" i="28"/>
  <c r="I22" i="28"/>
  <c r="HI22" i="28"/>
  <c r="JV22" i="28"/>
  <c r="BV22" i="28"/>
  <c r="LI22" i="28"/>
  <c r="IV22" i="28"/>
  <c r="GI22" i="28"/>
  <c r="IJ30" i="28"/>
  <c r="L7" i="70"/>
  <c r="AV7" i="70" s="1"/>
  <c r="J7" i="70"/>
  <c r="EW30" i="28"/>
  <c r="HW30" i="28"/>
  <c r="IW30" i="28"/>
  <c r="LJ30" i="28"/>
  <c r="DJ30" i="28"/>
  <c r="B30" i="28"/>
  <c r="HV30" i="28" s="1"/>
  <c r="LW30" i="28"/>
  <c r="AA30" i="62"/>
  <c r="JL13" i="28"/>
  <c r="CY13" i="28"/>
  <c r="LY13" i="28"/>
  <c r="KL13" i="28"/>
  <c r="AA24" i="62"/>
  <c r="CL13" i="28"/>
  <c r="BL13" i="28"/>
  <c r="FL13" i="28"/>
  <c r="Y13" i="28"/>
  <c r="GY13" i="28"/>
  <c r="IY13" i="28"/>
  <c r="GL13" i="28"/>
  <c r="AL13" i="28"/>
  <c r="FY13" i="28"/>
  <c r="HL13" i="28"/>
  <c r="L13" i="28"/>
  <c r="DY13" i="28"/>
  <c r="AY13" i="28"/>
  <c r="D13" i="28"/>
  <c r="EX13" i="28" s="1"/>
  <c r="BY13" i="28"/>
  <c r="JY13" i="28"/>
  <c r="EY13" i="28"/>
  <c r="AJ30" i="28"/>
  <c r="EL13" i="28"/>
  <c r="LL13" i="28"/>
  <c r="KY13" i="28"/>
  <c r="KJ30" i="28"/>
  <c r="HJ30" i="28"/>
  <c r="J5" i="70"/>
  <c r="K5" i="70"/>
  <c r="E22" i="26" s="1"/>
  <c r="J30" i="28"/>
  <c r="IL13" i="47"/>
  <c r="EL13" i="47"/>
  <c r="GJ30" i="28"/>
  <c r="W30" i="28"/>
  <c r="KW30" i="28"/>
  <c r="CJ30" i="28"/>
  <c r="JW30" i="28"/>
  <c r="BJ30" i="28"/>
  <c r="GW30" i="28"/>
  <c r="AY13" i="47"/>
  <c r="AL13" i="47"/>
  <c r="BW30" i="28"/>
  <c r="LL13" i="47"/>
  <c r="FJ30" i="28"/>
  <c r="FW30" i="28"/>
  <c r="L8" i="70"/>
  <c r="AV8" i="70" s="1"/>
  <c r="CL13" i="47"/>
  <c r="HY13" i="47"/>
  <c r="DL13" i="47"/>
  <c r="J8" i="70"/>
  <c r="LY13" i="47"/>
  <c r="HL13" i="47"/>
  <c r="U25" i="70"/>
  <c r="GL13" i="47"/>
  <c r="JL13" i="47"/>
  <c r="AW30" i="28"/>
  <c r="D13" i="47"/>
  <c r="FK13" i="47" s="1"/>
  <c r="FL13" i="47"/>
  <c r="J6" i="62"/>
  <c r="EY13" i="47"/>
  <c r="Y13" i="47"/>
  <c r="DY13" i="47"/>
  <c r="L13" i="47"/>
  <c r="GY13" i="47"/>
  <c r="HJ30" i="47"/>
  <c r="AJ30" i="47"/>
  <c r="B30" i="47"/>
  <c r="CW30" i="47"/>
  <c r="LW30" i="47"/>
  <c r="IW30" i="47"/>
  <c r="AW30" i="47"/>
  <c r="KW30" i="47"/>
  <c r="JW30" i="47"/>
  <c r="EW30" i="47"/>
  <c r="KJ30" i="47"/>
  <c r="LJ30" i="47"/>
  <c r="CJ30" i="47"/>
  <c r="IJ30" i="47"/>
  <c r="W30" i="47"/>
  <c r="FW30" i="47"/>
  <c r="HW30" i="47"/>
  <c r="JJ30" i="47"/>
  <c r="GW30" i="47"/>
  <c r="FJ30" i="47"/>
  <c r="BW30" i="47"/>
  <c r="GJ30" i="47"/>
  <c r="J30" i="47"/>
  <c r="EJ30" i="47"/>
  <c r="DW30" i="47"/>
  <c r="DJ30" i="47"/>
  <c r="BJ30" i="47"/>
  <c r="KV10" i="28"/>
  <c r="J8" i="62"/>
  <c r="J6" i="61"/>
  <c r="K8" i="61"/>
  <c r="E10" i="26" s="1"/>
  <c r="J8" i="61"/>
  <c r="J5" i="61"/>
  <c r="DV10" i="28"/>
  <c r="BI10" i="28"/>
  <c r="BV10" i="28"/>
  <c r="HV10" i="28"/>
  <c r="EI10" i="28"/>
  <c r="FV10" i="28"/>
  <c r="CV10" i="28"/>
  <c r="AI10" i="28"/>
  <c r="I10" i="28"/>
  <c r="EV10" i="28"/>
  <c r="K7" i="62"/>
  <c r="E14" i="26" s="1"/>
  <c r="GI10" i="28"/>
  <c r="IV10" i="28"/>
  <c r="CI10" i="28"/>
  <c r="FI10" i="28"/>
  <c r="JV10" i="28"/>
  <c r="KI10" i="28"/>
  <c r="LI10" i="28"/>
  <c r="LV10" i="28"/>
  <c r="GV10" i="28"/>
  <c r="L8" i="61"/>
  <c r="AV8" i="61" s="1"/>
  <c r="L6" i="61"/>
  <c r="AV6" i="61" s="1"/>
  <c r="L8" i="62"/>
  <c r="AV8" i="62" s="1"/>
  <c r="K6" i="61"/>
  <c r="E8" i="26" s="1"/>
  <c r="JI10" i="28"/>
  <c r="AV10" i="28"/>
  <c r="II10" i="28"/>
  <c r="HI10" i="28"/>
  <c r="DI10" i="28"/>
  <c r="L6" i="62"/>
  <c r="AV6" i="62" s="1"/>
  <c r="JV10" i="47"/>
  <c r="CI10" i="47"/>
  <c r="FV10" i="47"/>
  <c r="GI10" i="47"/>
  <c r="V10" i="47"/>
  <c r="CV10" i="47"/>
  <c r="BV10" i="47"/>
  <c r="KI10" i="47"/>
  <c r="KV10" i="47"/>
  <c r="FI10" i="47"/>
  <c r="IV10" i="47"/>
  <c r="BI10" i="47"/>
  <c r="DI10" i="47"/>
  <c r="LI10" i="47"/>
  <c r="DV10" i="47"/>
  <c r="EI10" i="47"/>
  <c r="GV10" i="47"/>
  <c r="AI10" i="47"/>
  <c r="EV10" i="47"/>
  <c r="JI10" i="47"/>
  <c r="AV10" i="47"/>
  <c r="II10" i="47"/>
  <c r="LV10" i="47"/>
  <c r="I10" i="47"/>
  <c r="HI10" i="47"/>
  <c r="HV10" i="47"/>
  <c r="J7" i="61"/>
  <c r="Y7" i="28"/>
  <c r="K6" i="62"/>
  <c r="E13" i="26" s="1"/>
  <c r="GP15" i="47"/>
  <c r="JC15" i="47"/>
  <c r="EC15" i="47"/>
  <c r="DP15" i="47"/>
  <c r="JP15" i="47"/>
  <c r="IC15" i="47"/>
  <c r="AC15" i="47"/>
  <c r="BC15" i="47"/>
  <c r="CC15" i="47"/>
  <c r="IP15" i="47"/>
  <c r="EP15" i="47"/>
  <c r="MC15" i="47"/>
  <c r="HP15" i="47"/>
  <c r="HC15" i="47"/>
  <c r="FP15" i="47"/>
  <c r="BP15" i="47"/>
  <c r="CP15" i="47"/>
  <c r="DC15" i="47"/>
  <c r="KP15" i="47"/>
  <c r="LP15" i="47"/>
  <c r="P15" i="47"/>
  <c r="GC15" i="47"/>
  <c r="AP15" i="47"/>
  <c r="LC15" i="47"/>
  <c r="FC15" i="47"/>
  <c r="KC15" i="47"/>
  <c r="J7" i="62"/>
  <c r="U22" i="62"/>
  <c r="AA22" i="62"/>
  <c r="K7" i="61"/>
  <c r="E9" i="26" s="1"/>
  <c r="BC15" i="28"/>
  <c r="CC15" i="28"/>
  <c r="JP15" i="28"/>
  <c r="EP15" i="28"/>
  <c r="CP15" i="28"/>
  <c r="DP15" i="28"/>
  <c r="GC15" i="28"/>
  <c r="MC15" i="28"/>
  <c r="IP15" i="28"/>
  <c r="P15" i="28"/>
  <c r="BP15" i="28"/>
  <c r="LC15" i="28"/>
  <c r="JC15" i="28"/>
  <c r="AP15" i="28"/>
  <c r="AC15" i="28"/>
  <c r="FC15" i="28"/>
  <c r="HC15" i="28"/>
  <c r="LP15" i="28"/>
  <c r="HP15" i="28"/>
  <c r="KC15" i="28"/>
  <c r="DC15" i="28"/>
  <c r="IC15" i="28"/>
  <c r="FP15" i="28"/>
  <c r="EC15" i="28"/>
  <c r="KP15" i="28"/>
  <c r="GP15" i="28"/>
  <c r="L7" i="62"/>
  <c r="AV7" i="62" s="1"/>
  <c r="IY7" i="28"/>
  <c r="K8" i="62"/>
  <c r="E15" i="26" s="1"/>
  <c r="L7" i="28"/>
  <c r="AL7" i="28"/>
  <c r="DY7" i="28"/>
  <c r="JY7" i="28"/>
  <c r="IL7" i="28"/>
  <c r="JL7" i="28"/>
  <c r="HY7" i="28"/>
  <c r="BY7" i="28"/>
  <c r="KY7" i="28"/>
  <c r="K5" i="62"/>
  <c r="E12" i="26" s="1"/>
  <c r="FL7" i="28"/>
  <c r="L7" i="61"/>
  <c r="AV7" i="61" s="1"/>
  <c r="L5" i="62"/>
  <c r="AV5" i="62" s="1"/>
  <c r="DL7" i="28"/>
  <c r="KL7" i="28"/>
  <c r="FY7" i="28"/>
  <c r="D7" i="28"/>
  <c r="EL7" i="28"/>
  <c r="AY7" i="28"/>
  <c r="HL7" i="28"/>
  <c r="CL7" i="28"/>
  <c r="CY7" i="28"/>
  <c r="LY7" i="28"/>
  <c r="EY7" i="28"/>
  <c r="GY7" i="28"/>
  <c r="GL7" i="28"/>
  <c r="LL7" i="28"/>
  <c r="GV8" i="28"/>
  <c r="EI8" i="28"/>
  <c r="JV8" i="28"/>
  <c r="AV8" i="28"/>
  <c r="V8" i="28"/>
  <c r="LV8" i="28"/>
  <c r="JI8" i="28"/>
  <c r="DV8" i="28"/>
  <c r="CV8" i="28"/>
  <c r="GI8" i="28"/>
  <c r="DI8" i="28"/>
  <c r="FI8" i="28"/>
  <c r="KI8" i="28"/>
  <c r="KV8" i="28"/>
  <c r="BV8" i="28"/>
  <c r="II8" i="28"/>
  <c r="CI8" i="28"/>
  <c r="FV8" i="28"/>
  <c r="IV8" i="28"/>
  <c r="AI8" i="28"/>
  <c r="LI8" i="28"/>
  <c r="BI8" i="28"/>
  <c r="HI8" i="28"/>
  <c r="EV8" i="28"/>
  <c r="HV8" i="28"/>
  <c r="I8" i="28"/>
  <c r="K5" i="61"/>
  <c r="E7" i="26" s="1"/>
  <c r="L5" i="61"/>
  <c r="LV8" i="47"/>
  <c r="EI8" i="47"/>
  <c r="BI8" i="47"/>
  <c r="DV8" i="47"/>
  <c r="JV8" i="47"/>
  <c r="CV8" i="47"/>
  <c r="HI8" i="47"/>
  <c r="KV8" i="47"/>
  <c r="AI8" i="47"/>
  <c r="II8" i="47"/>
  <c r="JI8" i="47"/>
  <c r="DI8" i="47"/>
  <c r="GI8" i="47"/>
  <c r="AV8" i="47"/>
  <c r="I8" i="47"/>
  <c r="LI8" i="47"/>
  <c r="HV8" i="47"/>
  <c r="GV8" i="47"/>
  <c r="FI8" i="47"/>
  <c r="FV8" i="47"/>
  <c r="EV8" i="47"/>
  <c r="CI8" i="47"/>
  <c r="BV8" i="47"/>
  <c r="V8" i="47"/>
  <c r="KI8" i="47"/>
  <c r="IV8" i="47"/>
  <c r="BL7" i="47"/>
  <c r="CY7" i="47"/>
  <c r="FL7" i="47"/>
  <c r="D7" i="47"/>
  <c r="GL7" i="47"/>
  <c r="CL7" i="47"/>
  <c r="DL7" i="47"/>
  <c r="Y7" i="47"/>
  <c r="IL7" i="47"/>
  <c r="HL7" i="47"/>
  <c r="L7" i="47"/>
  <c r="GY7" i="47"/>
  <c r="EY7" i="47"/>
  <c r="AY7" i="47"/>
  <c r="JL7" i="47"/>
  <c r="DY7" i="47"/>
  <c r="FY7" i="47"/>
  <c r="LY7" i="47"/>
  <c r="LL7" i="47"/>
  <c r="JY7" i="47"/>
  <c r="EL7" i="47"/>
  <c r="AL7" i="47"/>
  <c r="IY7" i="47"/>
  <c r="HY7" i="47"/>
  <c r="BY7" i="47"/>
  <c r="KY7" i="47"/>
  <c r="KL7" i="47"/>
  <c r="GK67" i="28"/>
  <c r="EK67" i="47"/>
  <c r="FK67" i="47"/>
  <c r="AK67" i="47"/>
  <c r="EX67" i="47"/>
  <c r="IK67" i="47"/>
  <c r="K67" i="47"/>
  <c r="DK67" i="47"/>
  <c r="LK67" i="47"/>
  <c r="DX67" i="47"/>
  <c r="JK67" i="47"/>
  <c r="FX67" i="47"/>
  <c r="CX67" i="47"/>
  <c r="BK67" i="47"/>
  <c r="IX67" i="47"/>
  <c r="BX67" i="47"/>
  <c r="KX67" i="47"/>
  <c r="LX67" i="47"/>
  <c r="KK67" i="47"/>
  <c r="JX67" i="47"/>
  <c r="HK67" i="47"/>
  <c r="HX67" i="47"/>
  <c r="GX67" i="47"/>
  <c r="GK67" i="47"/>
  <c r="AX67" i="47"/>
  <c r="CK67" i="47"/>
  <c r="X67" i="47"/>
  <c r="EK64" i="28"/>
  <c r="EX64" i="28"/>
  <c r="FK64" i="28"/>
  <c r="BK64" i="47"/>
  <c r="BX64" i="47"/>
  <c r="GI78" i="28"/>
  <c r="V78" i="28"/>
  <c r="KI78" i="28"/>
  <c r="KV78" i="28"/>
  <c r="EV78" i="28"/>
  <c r="LV78" i="28"/>
  <c r="HV78" i="28"/>
  <c r="HI78" i="28"/>
  <c r="AI78" i="28"/>
  <c r="IV78" i="28"/>
  <c r="BI78" i="28"/>
  <c r="BV78" i="28"/>
  <c r="JI78" i="28"/>
  <c r="FI78" i="28"/>
  <c r="FV78" i="28"/>
  <c r="AV78" i="28"/>
  <c r="I78" i="28"/>
  <c r="JV78" i="28"/>
  <c r="CV78" i="28"/>
  <c r="LI78" i="28"/>
  <c r="DI78" i="28"/>
  <c r="GV78" i="28"/>
  <c r="II78" i="28"/>
  <c r="EI78" i="28"/>
  <c r="CI78" i="28"/>
  <c r="DV78" i="28"/>
  <c r="DI76" i="28"/>
  <c r="DI78" i="47"/>
  <c r="CI78" i="47"/>
  <c r="GV78" i="47"/>
  <c r="LV78" i="47"/>
  <c r="HV78" i="47"/>
  <c r="AV78" i="47"/>
  <c r="BV78" i="47"/>
  <c r="LI78" i="47"/>
  <c r="EI78" i="47"/>
  <c r="EV78" i="47"/>
  <c r="I78" i="47"/>
  <c r="KI78" i="47"/>
  <c r="BI78" i="47"/>
  <c r="AI78" i="47"/>
  <c r="HI78" i="47"/>
  <c r="JV78" i="47"/>
  <c r="IV78" i="47"/>
  <c r="DV78" i="47"/>
  <c r="FI78" i="47"/>
  <c r="II78" i="47"/>
  <c r="KV78" i="47"/>
  <c r="CV78" i="47"/>
  <c r="FV78" i="47"/>
  <c r="GI78" i="47"/>
  <c r="JI78" i="47"/>
  <c r="V78" i="47"/>
  <c r="FK80" i="47"/>
  <c r="DX80" i="47"/>
  <c r="EK80" i="47"/>
  <c r="K80" i="47"/>
  <c r="BK80" i="47"/>
  <c r="DK80" i="47"/>
  <c r="IK80" i="47"/>
  <c r="KK80" i="47"/>
  <c r="LX80" i="47"/>
  <c r="CX80" i="47"/>
  <c r="GX80" i="47"/>
  <c r="HX80" i="47"/>
  <c r="JK80" i="47"/>
  <c r="BX80" i="47"/>
  <c r="AK80" i="47"/>
  <c r="X80" i="47"/>
  <c r="KX80" i="47"/>
  <c r="LK80" i="47"/>
  <c r="GK80" i="47"/>
  <c r="EX80" i="47"/>
  <c r="FX80" i="47"/>
  <c r="CK80" i="47"/>
  <c r="HK80" i="47"/>
  <c r="AX80" i="47"/>
  <c r="JX80" i="47"/>
  <c r="IX80" i="47"/>
  <c r="S17" i="66" a="1"/>
  <c r="S17" i="66" s="1"/>
  <c r="K16" i="66" a="1"/>
  <c r="K16" i="66" s="1"/>
  <c r="K17" i="66" a="1"/>
  <c r="K17" i="66" s="1"/>
  <c r="AX22" i="66" a="1"/>
  <c r="AX22" i="66" s="1"/>
  <c r="AY25" i="66" s="1"/>
  <c r="S15" i="66" a="1"/>
  <c r="S15" i="66" s="1"/>
  <c r="O15" i="66" a="1"/>
  <c r="O15" i="66" s="1"/>
  <c r="O17" i="66" a="1"/>
  <c r="O17" i="66" s="1"/>
  <c r="O14" i="66" a="1"/>
  <c r="O14" i="66" s="1"/>
  <c r="AX14" i="66" a="1"/>
  <c r="AX14" i="66" s="1"/>
  <c r="K15" i="66" a="1"/>
  <c r="K15" i="66" s="1"/>
  <c r="O16" i="66" a="1"/>
  <c r="O16" i="66" s="1"/>
  <c r="K14" i="66" a="1"/>
  <c r="K14" i="66" s="1"/>
  <c r="S16" i="66" a="1"/>
  <c r="S16" i="66" s="1"/>
  <c r="S14" i="66" a="1"/>
  <c r="S14" i="66" s="1"/>
  <c r="EI18" i="28"/>
  <c r="HI18" i="28"/>
  <c r="V18" i="28"/>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EK80" i="28" l="1"/>
  <c r="DX80" i="28"/>
  <c r="BK80" i="28"/>
  <c r="IK80" i="28"/>
  <c r="KK80" i="28"/>
  <c r="DK80" i="28"/>
  <c r="KX80" i="28"/>
  <c r="X80" i="28"/>
  <c r="FK80" i="28"/>
  <c r="CX80" i="28"/>
  <c r="HK80" i="28"/>
  <c r="LX80" i="28"/>
  <c r="EX80" i="28"/>
  <c r="JX80" i="28"/>
  <c r="BX80" i="28"/>
  <c r="LK80" i="28"/>
  <c r="JK80" i="28"/>
  <c r="FX80" i="28"/>
  <c r="BK67" i="28"/>
  <c r="DX67" i="28"/>
  <c r="CX67" i="28"/>
  <c r="AK15" i="28"/>
  <c r="EK64" i="47"/>
  <c r="CV18" i="28"/>
  <c r="LV18" i="28"/>
  <c r="II18" i="28"/>
  <c r="FI18" i="28"/>
  <c r="GI18" i="28"/>
  <c r="CI18" i="28"/>
  <c r="KI18" i="28"/>
  <c r="BI18" i="28"/>
  <c r="IV18" i="28"/>
  <c r="JI18" i="28"/>
  <c r="I18" i="28"/>
  <c r="EV18" i="28"/>
  <c r="BV18" i="28"/>
  <c r="JV18" i="28"/>
  <c r="HV18" i="28"/>
  <c r="DV18" i="28"/>
  <c r="GV18" i="28"/>
  <c r="KV18" i="28"/>
  <c r="LI18" i="28"/>
  <c r="DI18" i="28"/>
  <c r="AV18" i="28"/>
  <c r="FV18" i="28"/>
  <c r="KK67" i="28"/>
  <c r="FK67" i="28"/>
  <c r="K67" i="28"/>
  <c r="DK67" i="28"/>
  <c r="FX67" i="28"/>
  <c r="GX67" i="28"/>
  <c r="AK67" i="28"/>
  <c r="LX67" i="28"/>
  <c r="IX67" i="28"/>
  <c r="KX67" i="28"/>
  <c r="X67" i="28"/>
  <c r="EK67" i="28"/>
  <c r="AX67" i="28"/>
  <c r="BX67" i="28"/>
  <c r="JX67" i="28"/>
  <c r="HK67" i="28"/>
  <c r="HX67" i="28"/>
  <c r="JK67" i="28"/>
  <c r="EX67" i="28"/>
  <c r="IK67" i="28"/>
  <c r="LK67" i="28"/>
  <c r="AK80" i="28"/>
  <c r="K80" i="28"/>
  <c r="HX80" i="28"/>
  <c r="CK80" i="28"/>
  <c r="R7" i="64"/>
  <c r="R7" i="66"/>
  <c r="R6" i="66"/>
  <c r="GK80" i="28"/>
  <c r="AX80" i="28"/>
  <c r="R8" i="66"/>
  <c r="R8" i="64"/>
  <c r="R6" i="64"/>
  <c r="AI76" i="28"/>
  <c r="IX80" i="28"/>
  <c r="JX64" i="47"/>
  <c r="CX64" i="28"/>
  <c r="GX64" i="28"/>
  <c r="FX64" i="47"/>
  <c r="JX64" i="28"/>
  <c r="KK64" i="28"/>
  <c r="IX64" i="47"/>
  <c r="JK64" i="28"/>
  <c r="HX64" i="28"/>
  <c r="AK64" i="47"/>
  <c r="IX64" i="28"/>
  <c r="DX64" i="28"/>
  <c r="FK64" i="47"/>
  <c r="BK64" i="28"/>
  <c r="DK64" i="28"/>
  <c r="HX64" i="47"/>
  <c r="CK64" i="28"/>
  <c r="FX64" i="28"/>
  <c r="HK64" i="47"/>
  <c r="KX64" i="28"/>
  <c r="LK64" i="28"/>
  <c r="DK64" i="47"/>
  <c r="AX64" i="47"/>
  <c r="AK64" i="28"/>
  <c r="HK64" i="28"/>
  <c r="LK64" i="47"/>
  <c r="GK64" i="47"/>
  <c r="K64" i="28"/>
  <c r="IK64" i="28"/>
  <c r="CK64" i="47"/>
  <c r="CX64" i="47"/>
  <c r="X64" i="28"/>
  <c r="K64" i="47"/>
  <c r="EX64" i="47"/>
  <c r="DX64" i="47"/>
  <c r="KK64" i="47"/>
  <c r="AX14" i="71" a="1"/>
  <c r="AX14" i="71" s="1"/>
  <c r="K17" i="64" a="1"/>
  <c r="K17" i="64" s="1"/>
  <c r="LI76" i="28"/>
  <c r="KV76" i="28"/>
  <c r="FI76" i="28"/>
  <c r="GV76" i="28"/>
  <c r="S14" i="71" a="1"/>
  <c r="S14" i="71" s="1"/>
  <c r="V76" i="28"/>
  <c r="II76" i="28"/>
  <c r="JV76" i="28"/>
  <c r="LV76" i="28"/>
  <c r="DV76" i="28"/>
  <c r="K15" i="71" a="1"/>
  <c r="K15" i="71" s="1"/>
  <c r="HI76" i="28"/>
  <c r="JI76" i="28"/>
  <c r="X64" i="47"/>
  <c r="LX64" i="47"/>
  <c r="BX64" i="28"/>
  <c r="GK64" i="28"/>
  <c r="I76" i="28"/>
  <c r="O14" i="71" a="1"/>
  <c r="O14" i="71" s="1"/>
  <c r="EI76" i="28"/>
  <c r="BI76" i="28"/>
  <c r="CI76" i="28"/>
  <c r="CV76" i="28"/>
  <c r="GI76" i="28"/>
  <c r="FV76" i="28"/>
  <c r="JK64" i="47"/>
  <c r="IK64" i="47"/>
  <c r="AX64" i="28"/>
  <c r="BV76" i="28"/>
  <c r="IV76" i="28"/>
  <c r="AV76" i="28"/>
  <c r="EV76" i="28"/>
  <c r="HV76" i="28"/>
  <c r="KX64" i="47"/>
  <c r="X15" i="28"/>
  <c r="BK15" i="28"/>
  <c r="AX15" i="28"/>
  <c r="EX15" i="28"/>
  <c r="HX15" i="28"/>
  <c r="S14" i="65" a="1"/>
  <c r="S14" i="65" s="1"/>
  <c r="BX15" i="28"/>
  <c r="HK15" i="28"/>
  <c r="GK15" i="28"/>
  <c r="DX15" i="28"/>
  <c r="LX15" i="28"/>
  <c r="JK15" i="28"/>
  <c r="IX15" i="28"/>
  <c r="K15" i="28"/>
  <c r="CK15" i="28"/>
  <c r="CX15" i="28"/>
  <c r="FK15" i="28"/>
  <c r="GX15" i="28"/>
  <c r="FX15" i="28"/>
  <c r="KX15" i="28"/>
  <c r="JX15" i="28"/>
  <c r="DK15" i="28"/>
  <c r="LK15" i="28"/>
  <c r="IK15" i="28"/>
  <c r="R7" i="71"/>
  <c r="EK15" i="28"/>
  <c r="HI76" i="47"/>
  <c r="V76" i="47"/>
  <c r="DV76" i="47"/>
  <c r="JI76" i="47"/>
  <c r="S15" i="64" a="1"/>
  <c r="S15" i="64" s="1"/>
  <c r="O17" i="65" a="1"/>
  <c r="O17" i="65" s="1"/>
  <c r="S17" i="64" a="1"/>
  <c r="S17" i="64" s="1"/>
  <c r="S16" i="64" a="1"/>
  <c r="S16" i="64" s="1"/>
  <c r="O15" i="64" a="1"/>
  <c r="O15" i="64" s="1"/>
  <c r="O17" i="64" a="1"/>
  <c r="O17" i="64" s="1"/>
  <c r="O16" i="64" a="1"/>
  <c r="O16" i="64" s="1"/>
  <c r="R8" i="71"/>
  <c r="AX14" i="64" a="1"/>
  <c r="AX14" i="64" s="1"/>
  <c r="R6" i="71"/>
  <c r="AX22" i="65" a="1"/>
  <c r="AX22" i="65" s="1"/>
  <c r="K14" i="64" a="1"/>
  <c r="K14" i="64" s="1"/>
  <c r="R8" i="72"/>
  <c r="AX22" i="64" a="1"/>
  <c r="AX22" i="64" s="1"/>
  <c r="K15" i="64" a="1"/>
  <c r="K15" i="64" s="1"/>
  <c r="O15" i="65" a="1"/>
  <c r="O15" i="65" s="1"/>
  <c r="O14" i="64" a="1"/>
  <c r="O14" i="64" s="1"/>
  <c r="K16" i="64" a="1"/>
  <c r="K16" i="64" s="1"/>
  <c r="S14" i="64" a="1"/>
  <c r="S14" i="64" s="1"/>
  <c r="GV76" i="47"/>
  <c r="KV76" i="47"/>
  <c r="L9" i="69"/>
  <c r="R6" i="72"/>
  <c r="CK88" i="28"/>
  <c r="DX88" i="28"/>
  <c r="JX88" i="28"/>
  <c r="DK88" i="28"/>
  <c r="CX88" i="28"/>
  <c r="AX88" i="28"/>
  <c r="GK88" i="28"/>
  <c r="EK88" i="28"/>
  <c r="JK88" i="28"/>
  <c r="BK88" i="28"/>
  <c r="AK88" i="28"/>
  <c r="HX88" i="28"/>
  <c r="EX88" i="28"/>
  <c r="K88" i="28"/>
  <c r="GX88" i="28"/>
  <c r="X88" i="28"/>
  <c r="FX88" i="28"/>
  <c r="KK88" i="28"/>
  <c r="IK88" i="28"/>
  <c r="FK88" i="28"/>
  <c r="HK88" i="28"/>
  <c r="LX88" i="28"/>
  <c r="KX88" i="28"/>
  <c r="BX88" i="28"/>
  <c r="IX88" i="28"/>
  <c r="LK88" i="28"/>
  <c r="FV76" i="47"/>
  <c r="BI76" i="47"/>
  <c r="R7" i="72"/>
  <c r="HV76" i="47"/>
  <c r="I15" i="67"/>
  <c r="E64" i="26"/>
  <c r="I14" i="67"/>
  <c r="I16" i="67"/>
  <c r="AV7" i="67"/>
  <c r="L9" i="67"/>
  <c r="I14" i="69"/>
  <c r="E65" i="26"/>
  <c r="I17" i="67"/>
  <c r="EV76" i="47"/>
  <c r="I76" i="47"/>
  <c r="BV76" i="47"/>
  <c r="CV76" i="47"/>
  <c r="LV76" i="47"/>
  <c r="KI76" i="47"/>
  <c r="CI76" i="47"/>
  <c r="FI76" i="47"/>
  <c r="EI76" i="47"/>
  <c r="GI76" i="47"/>
  <c r="AV76" i="47"/>
  <c r="K14" i="71" a="1"/>
  <c r="K14" i="71" s="1"/>
  <c r="O14" i="65" a="1"/>
  <c r="O14" i="65" s="1"/>
  <c r="AI76" i="47"/>
  <c r="DI76" i="47"/>
  <c r="LI76" i="47"/>
  <c r="JV76" i="47"/>
  <c r="IV76" i="47"/>
  <c r="S15" i="71" a="1"/>
  <c r="S15" i="71" s="1"/>
  <c r="K16" i="71" a="1"/>
  <c r="K16" i="71" s="1"/>
  <c r="O15" i="71" a="1"/>
  <c r="O15" i="71" s="1"/>
  <c r="S16" i="71" a="1"/>
  <c r="S16" i="71" s="1"/>
  <c r="AX22" i="71" a="1"/>
  <c r="AX22" i="71" s="1"/>
  <c r="O16" i="71" a="1"/>
  <c r="O16" i="71" s="1"/>
  <c r="L9" i="68"/>
  <c r="R8" i="68" s="1"/>
  <c r="I15" i="68"/>
  <c r="I14" i="68"/>
  <c r="I17" i="68"/>
  <c r="O16" i="65" a="1"/>
  <c r="O16" i="65" s="1"/>
  <c r="S15" i="65" a="1"/>
  <c r="S15" i="65" s="1"/>
  <c r="K16" i="65" a="1"/>
  <c r="K16" i="65" s="1"/>
  <c r="K14" i="65" a="1"/>
  <c r="K14" i="65" s="1"/>
  <c r="S16" i="65" a="1"/>
  <c r="S16" i="65" s="1"/>
  <c r="AX14" i="65" a="1"/>
  <c r="AX14" i="65" s="1"/>
  <c r="K15" i="65" a="1"/>
  <c r="K15" i="65" s="1"/>
  <c r="K17" i="65" a="1"/>
  <c r="K17" i="65" s="1"/>
  <c r="S17" i="65" a="1"/>
  <c r="S17" i="65" s="1"/>
  <c r="O17" i="71" a="1"/>
  <c r="O17" i="71" s="1"/>
  <c r="I16" i="68"/>
  <c r="K17" i="71" a="1"/>
  <c r="K17" i="71" s="1"/>
  <c r="S17" i="71" a="1"/>
  <c r="S17" i="71" s="1"/>
  <c r="I16" i="69"/>
  <c r="R5" i="65"/>
  <c r="R6" i="65"/>
  <c r="R7" i="65"/>
  <c r="I15" i="69"/>
  <c r="E50" i="26"/>
  <c r="I17" i="69"/>
  <c r="AX14" i="72" a="1"/>
  <c r="AX14" i="72" s="1"/>
  <c r="S17" i="72" a="1"/>
  <c r="S17" i="72" s="1"/>
  <c r="K14" i="72" a="1"/>
  <c r="K14" i="72" s="1"/>
  <c r="S16" i="72" a="1"/>
  <c r="S16" i="72" s="1"/>
  <c r="BX13" i="28"/>
  <c r="O15" i="72" a="1"/>
  <c r="O15" i="72" s="1"/>
  <c r="O16" i="72" a="1"/>
  <c r="O16" i="72" s="1"/>
  <c r="KX13" i="28"/>
  <c r="K15" i="72" a="1"/>
  <c r="K15" i="72" s="1"/>
  <c r="O14" i="72" a="1"/>
  <c r="O14" i="72" s="1"/>
  <c r="LX13" i="28"/>
  <c r="S15" i="72" a="1"/>
  <c r="S15" i="72" s="1"/>
  <c r="FX13" i="28"/>
  <c r="IK13" i="28"/>
  <c r="S14" i="72" a="1"/>
  <c r="S14" i="72" s="1"/>
  <c r="X13" i="28"/>
  <c r="AX22" i="72" a="1"/>
  <c r="AX22" i="72" s="1"/>
  <c r="K16" i="72" a="1"/>
  <c r="K16" i="72" s="1"/>
  <c r="K17" i="72" a="1"/>
  <c r="K17" i="72" s="1"/>
  <c r="O17" i="72" a="1"/>
  <c r="O17" i="72" s="1"/>
  <c r="CK13" i="28"/>
  <c r="AK13" i="28"/>
  <c r="DX13" i="28"/>
  <c r="GK13" i="28"/>
  <c r="HX13" i="28"/>
  <c r="K13" i="28"/>
  <c r="CX13" i="28"/>
  <c r="BK13" i="28"/>
  <c r="EK13" i="28"/>
  <c r="IX13" i="28"/>
  <c r="KK13" i="28"/>
  <c r="FK13" i="28"/>
  <c r="GX13" i="28"/>
  <c r="HK13" i="28"/>
  <c r="JX13" i="28"/>
  <c r="AX13" i="28"/>
  <c r="JK13" i="28"/>
  <c r="DK13" i="28"/>
  <c r="LK13" i="28"/>
  <c r="I14" i="62"/>
  <c r="R8" i="63"/>
  <c r="R5" i="63"/>
  <c r="O14" i="63" a="1"/>
  <c r="O14" i="63" s="1"/>
  <c r="R6" i="63"/>
  <c r="S14" i="63" a="1"/>
  <c r="S14" i="63" s="1"/>
  <c r="O17" i="63" a="1"/>
  <c r="O17" i="63" s="1"/>
  <c r="AX22" i="63" a="1"/>
  <c r="AX22" i="63" s="1"/>
  <c r="S15" i="63" a="1"/>
  <c r="S15" i="63" s="1"/>
  <c r="O16" i="63" a="1"/>
  <c r="O16" i="63" s="1"/>
  <c r="V30" i="28"/>
  <c r="S16" i="63" a="1"/>
  <c r="S16" i="63" s="1"/>
  <c r="O15" i="63" a="1"/>
  <c r="O15" i="63" s="1"/>
  <c r="S17" i="63" a="1"/>
  <c r="S17" i="63" s="1"/>
  <c r="AX14" i="63" a="1"/>
  <c r="AX14" i="63" s="1"/>
  <c r="K14" i="63" a="1"/>
  <c r="K14" i="63" s="1"/>
  <c r="K15" i="63" a="1"/>
  <c r="K15" i="63" s="1"/>
  <c r="K17" i="63" a="1"/>
  <c r="K17" i="63" s="1"/>
  <c r="K16" i="63" a="1"/>
  <c r="K16" i="63" s="1"/>
  <c r="HI30" i="28"/>
  <c r="I15" i="62"/>
  <c r="LX13" i="47"/>
  <c r="IX13" i="47"/>
  <c r="EX13" i="47"/>
  <c r="EK13" i="47"/>
  <c r="BX13" i="47"/>
  <c r="JX13" i="47"/>
  <c r="X13" i="47"/>
  <c r="AK13" i="47"/>
  <c r="CK13" i="47"/>
  <c r="HK13" i="47"/>
  <c r="CX13" i="47"/>
  <c r="FX13" i="47"/>
  <c r="K13" i="47"/>
  <c r="GK13" i="47"/>
  <c r="GX13" i="47"/>
  <c r="BK13" i="47"/>
  <c r="AX13" i="47"/>
  <c r="DX13" i="47"/>
  <c r="IK13" i="47"/>
  <c r="HX13" i="47"/>
  <c r="JK13" i="47"/>
  <c r="DK13" i="47"/>
  <c r="KX13" i="47"/>
  <c r="LK13" i="47"/>
  <c r="KK13" i="47"/>
  <c r="II30" i="28"/>
  <c r="GI30" i="28"/>
  <c r="FI30" i="28"/>
  <c r="JV30" i="28"/>
  <c r="JI30" i="28"/>
  <c r="DI30" i="28"/>
  <c r="KV30" i="28"/>
  <c r="KI30" i="28"/>
  <c r="BV30" i="28"/>
  <c r="GV30" i="28"/>
  <c r="AI30" i="28"/>
  <c r="IV30" i="28"/>
  <c r="EI30" i="28"/>
  <c r="FV30" i="28"/>
  <c r="CI30" i="28"/>
  <c r="I30" i="28"/>
  <c r="BI30" i="28"/>
  <c r="DV30" i="28"/>
  <c r="LI30" i="28"/>
  <c r="CV30" i="28"/>
  <c r="LV30" i="28"/>
  <c r="AV30" i="28"/>
  <c r="EV30" i="28"/>
  <c r="I14" i="70"/>
  <c r="I16" i="70"/>
  <c r="I17" i="70"/>
  <c r="I15" i="70"/>
  <c r="L9" i="70"/>
  <c r="DI30" i="47"/>
  <c r="LV30" i="47"/>
  <c r="IV30" i="47"/>
  <c r="BI30" i="47"/>
  <c r="LI30" i="47"/>
  <c r="KV30" i="47"/>
  <c r="CV30" i="47"/>
  <c r="KI30" i="47"/>
  <c r="II30" i="47"/>
  <c r="EV30" i="47"/>
  <c r="HV30" i="47"/>
  <c r="CI30" i="47"/>
  <c r="FV30" i="47"/>
  <c r="DV30" i="47"/>
  <c r="JI30" i="47"/>
  <c r="BV30" i="47"/>
  <c r="FI30" i="47"/>
  <c r="V30" i="47"/>
  <c r="JV30" i="47"/>
  <c r="I30" i="47"/>
  <c r="HI30" i="47"/>
  <c r="GI30" i="47"/>
  <c r="GV30" i="47"/>
  <c r="AV30" i="47"/>
  <c r="EI30" i="47"/>
  <c r="AI30" i="47"/>
  <c r="I17" i="62"/>
  <c r="I16" i="62"/>
  <c r="L9" i="62"/>
  <c r="R5" i="62" s="1"/>
  <c r="I15" i="61"/>
  <c r="FD15" i="28"/>
  <c r="FD130" i="28" s="1"/>
  <c r="FD131" i="28" s="1"/>
  <c r="FE15" i="28"/>
  <c r="FE130" i="28" s="1"/>
  <c r="FE131" i="28" s="1"/>
  <c r="FF15" i="28"/>
  <c r="FF130" i="28" s="1"/>
  <c r="FF131" i="28" s="1"/>
  <c r="FC130" i="28"/>
  <c r="FC131" i="28" s="1"/>
  <c r="EP130" i="28"/>
  <c r="EP131" i="28" s="1"/>
  <c r="EQ15" i="28"/>
  <c r="EQ130" i="28" s="1"/>
  <c r="EQ131" i="28" s="1"/>
  <c r="ER15" i="28"/>
  <c r="ER130" i="28" s="1"/>
  <c r="ER131" i="28" s="1"/>
  <c r="ES15" i="28"/>
  <c r="ES130" i="28" s="1"/>
  <c r="ES131" i="28" s="1"/>
  <c r="AR15" i="47"/>
  <c r="AQ15" i="47"/>
  <c r="AS15" i="47"/>
  <c r="ES15" i="47"/>
  <c r="ER15" i="47"/>
  <c r="EQ15" i="47"/>
  <c r="AD15" i="28"/>
  <c r="AD130" i="28" s="1"/>
  <c r="AD131" i="28" s="1"/>
  <c r="AF15" i="28"/>
  <c r="AF130" i="28" s="1"/>
  <c r="AF131" i="28" s="1"/>
  <c r="AE15" i="28"/>
  <c r="AE130" i="28" s="1"/>
  <c r="AE131" i="28" s="1"/>
  <c r="AC130" i="28"/>
  <c r="AC131" i="28" s="1"/>
  <c r="JP130" i="28"/>
  <c r="JP131" i="28" s="1"/>
  <c r="JR15" i="28"/>
  <c r="JR130" i="28" s="1"/>
  <c r="JR131" i="28" s="1"/>
  <c r="JS15" i="28"/>
  <c r="JS130" i="28" s="1"/>
  <c r="JS131" i="28" s="1"/>
  <c r="JQ15" i="28"/>
  <c r="JQ130" i="28" s="1"/>
  <c r="JQ131" i="28" s="1"/>
  <c r="GE15" i="47"/>
  <c r="GD15" i="47"/>
  <c r="GF15" i="47"/>
  <c r="IQ15" i="47"/>
  <c r="IS15" i="47"/>
  <c r="IR15" i="47"/>
  <c r="GP130" i="28"/>
  <c r="GP131" i="28" s="1"/>
  <c r="GQ15" i="28"/>
  <c r="GQ130" i="28" s="1"/>
  <c r="GQ131" i="28" s="1"/>
  <c r="GS15" i="28"/>
  <c r="GS130" i="28" s="1"/>
  <c r="GS131" i="28" s="1"/>
  <c r="GR15" i="28"/>
  <c r="GR130" i="28" s="1"/>
  <c r="GR131" i="28" s="1"/>
  <c r="AQ15" i="28"/>
  <c r="AQ130" i="28" s="1"/>
  <c r="AQ131" i="28" s="1"/>
  <c r="AR15" i="28"/>
  <c r="AR130" i="28" s="1"/>
  <c r="AR131" i="28" s="1"/>
  <c r="AS15" i="28"/>
  <c r="AS130" i="28" s="1"/>
  <c r="AS131" i="28" s="1"/>
  <c r="AP130" i="28"/>
  <c r="AP131" i="28" s="1"/>
  <c r="CC130" i="28"/>
  <c r="CC131" i="28" s="1"/>
  <c r="CE15" i="28"/>
  <c r="CE130" i="28" s="1"/>
  <c r="CE131" i="28" s="1"/>
  <c r="CF15" i="28"/>
  <c r="CF130" i="28" s="1"/>
  <c r="CF131" i="28" s="1"/>
  <c r="CD15" i="28"/>
  <c r="CD130" i="28" s="1"/>
  <c r="CD131" i="28" s="1"/>
  <c r="R15" i="47"/>
  <c r="Q15" i="47"/>
  <c r="S15" i="47"/>
  <c r="CD15" i="47"/>
  <c r="CE15" i="47"/>
  <c r="CF15" i="47"/>
  <c r="KP130" i="28"/>
  <c r="KP131" i="28" s="1"/>
  <c r="KQ15" i="28"/>
  <c r="KQ130" i="28" s="1"/>
  <c r="KQ131" i="28" s="1"/>
  <c r="KS15" i="28"/>
  <c r="KS130" i="28" s="1"/>
  <c r="KS131" i="28" s="1"/>
  <c r="KR15" i="28"/>
  <c r="KR130" i="28" s="1"/>
  <c r="KR131" i="28" s="1"/>
  <c r="JD15" i="28"/>
  <c r="JD130" i="28" s="1"/>
  <c r="JD131" i="28" s="1"/>
  <c r="JE15" i="28"/>
  <c r="JE130" i="28" s="1"/>
  <c r="JE131" i="28" s="1"/>
  <c r="JC130" i="28"/>
  <c r="JC131" i="28" s="1"/>
  <c r="JF15" i="28"/>
  <c r="JF130" i="28" s="1"/>
  <c r="JF131" i="28" s="1"/>
  <c r="BC130" i="28"/>
  <c r="BC131" i="28" s="1"/>
  <c r="BD15" i="28"/>
  <c r="BD130" i="28" s="1"/>
  <c r="BD131" i="28" s="1"/>
  <c r="BF15" i="28"/>
  <c r="BF130" i="28" s="1"/>
  <c r="BF131" i="28" s="1"/>
  <c r="BE15" i="28"/>
  <c r="BE130" i="28" s="1"/>
  <c r="BE131" i="28" s="1"/>
  <c r="LQ15" i="47"/>
  <c r="LS15" i="47"/>
  <c r="LR15" i="47"/>
  <c r="BF15" i="47"/>
  <c r="BD15" i="47"/>
  <c r="BE15" i="47"/>
  <c r="ED15" i="28"/>
  <c r="ED130" i="28" s="1"/>
  <c r="ED131" i="28" s="1"/>
  <c r="EE15" i="28"/>
  <c r="EE130" i="28" s="1"/>
  <c r="EE131" i="28" s="1"/>
  <c r="EF15" i="28"/>
  <c r="EF130" i="28" s="1"/>
  <c r="EF131" i="28" s="1"/>
  <c r="EC130" i="28"/>
  <c r="EC131" i="28" s="1"/>
  <c r="LC130" i="28"/>
  <c r="LC131" i="28" s="1"/>
  <c r="LF15" i="28"/>
  <c r="LF130" i="28" s="1"/>
  <c r="LF131" i="28" s="1"/>
  <c r="LD15" i="28"/>
  <c r="LD130" i="28" s="1"/>
  <c r="LD131" i="28" s="1"/>
  <c r="LE15" i="28"/>
  <c r="LE130" i="28" s="1"/>
  <c r="LE131" i="28" s="1"/>
  <c r="KQ15" i="47"/>
  <c r="KS15" i="47"/>
  <c r="KR15" i="47"/>
  <c r="AE15" i="47"/>
  <c r="AF15" i="47"/>
  <c r="AD15" i="47"/>
  <c r="FP130" i="28"/>
  <c r="FP131" i="28" s="1"/>
  <c r="FS15" i="28"/>
  <c r="FS130" i="28" s="1"/>
  <c r="FS131" i="28" s="1"/>
  <c r="FQ15" i="28"/>
  <c r="FQ130" i="28" s="1"/>
  <c r="FQ131" i="28" s="1"/>
  <c r="FR15" i="28"/>
  <c r="FR130" i="28" s="1"/>
  <c r="FR131" i="28" s="1"/>
  <c r="BP130" i="28"/>
  <c r="BP131" i="28" s="1"/>
  <c r="BR15" i="28"/>
  <c r="BR130" i="28" s="1"/>
  <c r="BR131" i="28" s="1"/>
  <c r="BQ15" i="28"/>
  <c r="BQ130" i="28" s="1"/>
  <c r="BQ131" i="28" s="1"/>
  <c r="BS15" i="28"/>
  <c r="BS130" i="28" s="1"/>
  <c r="BS131" i="28" s="1"/>
  <c r="DF15" i="47"/>
  <c r="DE15" i="47"/>
  <c r="DD15" i="47"/>
  <c r="ID15" i="47"/>
  <c r="IF15" i="47"/>
  <c r="IE15" i="47"/>
  <c r="IC130" i="28"/>
  <c r="IC131" i="28" s="1"/>
  <c r="ID15" i="28"/>
  <c r="ID130" i="28" s="1"/>
  <c r="ID131" i="28" s="1"/>
  <c r="IE15" i="28"/>
  <c r="IE130" i="28" s="1"/>
  <c r="IE131" i="28" s="1"/>
  <c r="IF15" i="28"/>
  <c r="IF130" i="28" s="1"/>
  <c r="IF131" i="28" s="1"/>
  <c r="R15" i="28"/>
  <c r="R130" i="28" s="1"/>
  <c r="R131" i="28" s="1"/>
  <c r="S15" i="28"/>
  <c r="S130" i="28" s="1"/>
  <c r="S131" i="28" s="1"/>
  <c r="Q15" i="28"/>
  <c r="Q130" i="28" s="1"/>
  <c r="Q131" i="28" s="1"/>
  <c r="P130" i="28"/>
  <c r="P131" i="28" s="1"/>
  <c r="CR15" i="47"/>
  <c r="CS15" i="47"/>
  <c r="CQ15" i="47"/>
  <c r="JR15" i="47"/>
  <c r="JQ15" i="47"/>
  <c r="JS15" i="47"/>
  <c r="DE15" i="28"/>
  <c r="DE130" i="28" s="1"/>
  <c r="DE131" i="28" s="1"/>
  <c r="DC130" i="28"/>
  <c r="DC131" i="28" s="1"/>
  <c r="DD15" i="28"/>
  <c r="DD130" i="28" s="1"/>
  <c r="DD131" i="28" s="1"/>
  <c r="DF15" i="28"/>
  <c r="DF130" i="28" s="1"/>
  <c r="DF131" i="28" s="1"/>
  <c r="IP130" i="28"/>
  <c r="IP131" i="28" s="1"/>
  <c r="IQ15" i="28"/>
  <c r="IQ130" i="28" s="1"/>
  <c r="IQ131" i="28" s="1"/>
  <c r="IS15" i="28"/>
  <c r="IS130" i="28" s="1"/>
  <c r="IS131" i="28" s="1"/>
  <c r="IR15" i="28"/>
  <c r="IR130" i="28" s="1"/>
  <c r="IR131" i="28" s="1"/>
  <c r="BQ15" i="47"/>
  <c r="BR15" i="47"/>
  <c r="BS15" i="47"/>
  <c r="DS15" i="47"/>
  <c r="DQ15" i="47"/>
  <c r="DR15" i="47"/>
  <c r="KF15" i="28"/>
  <c r="KF130" i="28" s="1"/>
  <c r="KF131" i="28" s="1"/>
  <c r="KD15" i="28"/>
  <c r="KD130" i="28" s="1"/>
  <c r="KD131" i="28" s="1"/>
  <c r="KE15" i="28"/>
  <c r="KE130" i="28" s="1"/>
  <c r="KE131" i="28" s="1"/>
  <c r="KC130" i="28"/>
  <c r="KC131" i="28" s="1"/>
  <c r="MF15" i="28"/>
  <c r="MF130" i="28" s="1"/>
  <c r="MF131" i="28" s="1"/>
  <c r="ME15" i="28"/>
  <c r="ME130" i="28" s="1"/>
  <c r="ME131" i="28" s="1"/>
  <c r="MD15" i="28"/>
  <c r="MD130" i="28" s="1"/>
  <c r="MD131" i="28" s="1"/>
  <c r="MC130" i="28"/>
  <c r="MC131" i="28" s="1"/>
  <c r="FQ15" i="47"/>
  <c r="FR15" i="47"/>
  <c r="FS15" i="47"/>
  <c r="ED15" i="47"/>
  <c r="EF15" i="47"/>
  <c r="EE15" i="47"/>
  <c r="HR15" i="28"/>
  <c r="HR130" i="28" s="1"/>
  <c r="HR131" i="28" s="1"/>
  <c r="HS15" i="28"/>
  <c r="HS130" i="28" s="1"/>
  <c r="HS131" i="28" s="1"/>
  <c r="HP130" i="28"/>
  <c r="HP131" i="28" s="1"/>
  <c r="HQ15" i="28"/>
  <c r="HQ130" i="28" s="1"/>
  <c r="HQ131" i="28" s="1"/>
  <c r="GF15" i="28"/>
  <c r="GF130" i="28" s="1"/>
  <c r="GF131" i="28" s="1"/>
  <c r="GD15" i="28"/>
  <c r="GD130" i="28" s="1"/>
  <c r="GD131" i="28" s="1"/>
  <c r="GC130" i="28"/>
  <c r="GC131" i="28" s="1"/>
  <c r="GE15" i="28"/>
  <c r="GE130" i="28" s="1"/>
  <c r="GE131" i="28" s="1"/>
  <c r="KF15" i="47"/>
  <c r="KE15" i="47"/>
  <c r="KD15" i="47"/>
  <c r="HD15" i="47"/>
  <c r="HE15" i="47"/>
  <c r="HF15" i="47"/>
  <c r="JF15" i="47"/>
  <c r="JE15" i="47"/>
  <c r="JD15" i="47"/>
  <c r="LS15" i="28"/>
  <c r="LS130" i="28" s="1"/>
  <c r="LS131" i="28" s="1"/>
  <c r="LR15" i="28"/>
  <c r="LR130" i="28" s="1"/>
  <c r="LR131" i="28" s="1"/>
  <c r="LQ15" i="28"/>
  <c r="LQ130" i="28" s="1"/>
  <c r="LQ131" i="28" s="1"/>
  <c r="LP130" i="28"/>
  <c r="LP131" i="28" s="1"/>
  <c r="DR15" i="28"/>
  <c r="DR130" i="28" s="1"/>
  <c r="DR131" i="28" s="1"/>
  <c r="DQ15" i="28"/>
  <c r="DQ130" i="28" s="1"/>
  <c r="DQ131" i="28" s="1"/>
  <c r="DS15" i="28"/>
  <c r="DS130" i="28" s="1"/>
  <c r="DS131" i="28" s="1"/>
  <c r="DP130" i="28"/>
  <c r="DP131" i="28" s="1"/>
  <c r="FD15" i="47"/>
  <c r="FE15" i="47"/>
  <c r="FF15" i="47"/>
  <c r="HQ15" i="47"/>
  <c r="HS15" i="47"/>
  <c r="HR15" i="47"/>
  <c r="GS15" i="47"/>
  <c r="GR15" i="47"/>
  <c r="GQ15" i="47"/>
  <c r="HC130" i="28"/>
  <c r="HC131" i="28" s="1"/>
  <c r="HE15" i="28"/>
  <c r="HE130" i="28" s="1"/>
  <c r="HE131" i="28" s="1"/>
  <c r="HD15" i="28"/>
  <c r="HD130" i="28" s="1"/>
  <c r="HD131" i="28" s="1"/>
  <c r="HF15" i="28"/>
  <c r="HF130" i="28" s="1"/>
  <c r="HF131" i="28" s="1"/>
  <c r="CP130" i="28"/>
  <c r="CP131" i="28" s="1"/>
  <c r="CS15" i="28"/>
  <c r="CS130" i="28" s="1"/>
  <c r="CS131" i="28" s="1"/>
  <c r="CR15" i="28"/>
  <c r="CR130" i="28" s="1"/>
  <c r="CR131" i="28" s="1"/>
  <c r="CQ15" i="28"/>
  <c r="CQ130" i="28" s="1"/>
  <c r="CQ131" i="28" s="1"/>
  <c r="LE15" i="47"/>
  <c r="LF15" i="47"/>
  <c r="LD15" i="47"/>
  <c r="ME15" i="47"/>
  <c r="MF15" i="47"/>
  <c r="MD15" i="47"/>
  <c r="I16" i="61"/>
  <c r="AX7" i="28"/>
  <c r="GX7" i="28"/>
  <c r="K7" i="28"/>
  <c r="FK7" i="28"/>
  <c r="LK7" i="28"/>
  <c r="IK7" i="28"/>
  <c r="KX7" i="28"/>
  <c r="CK7" i="28"/>
  <c r="BX7" i="28"/>
  <c r="CX7" i="28"/>
  <c r="BK7" i="28"/>
  <c r="HK7" i="28"/>
  <c r="JX7" i="28"/>
  <c r="JK7" i="28"/>
  <c r="EK7" i="28"/>
  <c r="DK7" i="28"/>
  <c r="HX7" i="28"/>
  <c r="FX7" i="28"/>
  <c r="DX7" i="28"/>
  <c r="KK7" i="28"/>
  <c r="AK7" i="28"/>
  <c r="X7" i="28"/>
  <c r="IX7" i="28"/>
  <c r="LX7" i="28"/>
  <c r="GK7" i="28"/>
  <c r="EX7" i="28"/>
  <c r="I14" i="61"/>
  <c r="I17" i="61"/>
  <c r="DK7" i="47"/>
  <c r="EK7" i="47"/>
  <c r="AX7" i="47"/>
  <c r="JK7" i="47"/>
  <c r="KX7" i="47"/>
  <c r="DX7" i="47"/>
  <c r="GK7" i="47"/>
  <c r="CK7" i="47"/>
  <c r="CX7" i="47"/>
  <c r="GX7" i="47"/>
  <c r="K7" i="47"/>
  <c r="IK7" i="47"/>
  <c r="JX7" i="47"/>
  <c r="FK7" i="47"/>
  <c r="HX7" i="47"/>
  <c r="BK7" i="47"/>
  <c r="BX7" i="47"/>
  <c r="IX7" i="47"/>
  <c r="LK7" i="47"/>
  <c r="KK7" i="47"/>
  <c r="LX7" i="47"/>
  <c r="FX7" i="47"/>
  <c r="EX7" i="47"/>
  <c r="HK7" i="47"/>
  <c r="X7" i="47"/>
  <c r="AK7" i="47"/>
  <c r="AV5" i="61"/>
  <c r="L9" i="61"/>
  <c r="AY23" i="66"/>
  <c r="L15" i="66"/>
  <c r="M15" i="66" s="1"/>
  <c r="L17" i="66"/>
  <c r="M17" i="66" s="1"/>
  <c r="P17" i="66" s="1"/>
  <c r="L16" i="66"/>
  <c r="M16" i="66" s="1"/>
  <c r="L14" i="66"/>
  <c r="M14" i="66" s="1"/>
  <c r="P14" i="66" s="1"/>
  <c r="AY22" i="65"/>
  <c r="AY24" i="65"/>
  <c r="S15" i="68" l="1" a="1"/>
  <c r="S15" i="68" s="1"/>
  <c r="L14" i="71"/>
  <c r="M14" i="71" s="1"/>
  <c r="R5" i="68"/>
  <c r="S17" i="68" a="1"/>
  <c r="S17" i="68" s="1"/>
  <c r="L17" i="64"/>
  <c r="M17" i="64" s="1"/>
  <c r="P17" i="64" s="1"/>
  <c r="Q17" i="64" s="1"/>
  <c r="T17" i="64" s="1"/>
  <c r="U17" i="64" s="1"/>
  <c r="L15" i="64"/>
  <c r="M15" i="64" s="1"/>
  <c r="L14" i="64"/>
  <c r="M14" i="64" s="1"/>
  <c r="P14" i="64" s="1"/>
  <c r="Q14" i="64" s="1"/>
  <c r="L16" i="64"/>
  <c r="M16" i="64" s="1"/>
  <c r="L17" i="65"/>
  <c r="M17" i="65" s="1"/>
  <c r="P17" i="65" s="1"/>
  <c r="Q17" i="65" s="1"/>
  <c r="T17" i="65" s="1"/>
  <c r="U17" i="65" s="1"/>
  <c r="L16" i="65"/>
  <c r="M16" i="65" s="1"/>
  <c r="P16" i="65" s="1"/>
  <c r="Q16" i="65" s="1"/>
  <c r="L15" i="65"/>
  <c r="M15" i="65" s="1"/>
  <c r="L14" i="65"/>
  <c r="M14" i="65" s="1"/>
  <c r="L16" i="71"/>
  <c r="M16" i="71" s="1"/>
  <c r="P16" i="71" s="1"/>
  <c r="Q16" i="71" s="1"/>
  <c r="K17" i="68" a="1"/>
  <c r="K17" i="68" s="1"/>
  <c r="K15" i="68" a="1"/>
  <c r="K15" i="68" s="1"/>
  <c r="L17" i="71"/>
  <c r="M17" i="71" s="1"/>
  <c r="S16" i="68" a="1"/>
  <c r="S16" i="68" s="1"/>
  <c r="AX14" i="68" a="1"/>
  <c r="AX14" i="68" s="1"/>
  <c r="L15" i="71"/>
  <c r="M15" i="71" s="1"/>
  <c r="P15" i="71" s="1"/>
  <c r="Q15" i="71" s="1"/>
  <c r="O16" i="68" a="1"/>
  <c r="O16" i="68" s="1"/>
  <c r="S14" i="68" a="1"/>
  <c r="S14" i="68" s="1"/>
  <c r="K16" i="68" a="1"/>
  <c r="K16" i="68" s="1"/>
  <c r="O15" i="68" a="1"/>
  <c r="O15" i="68" s="1"/>
  <c r="O17" i="68" a="1"/>
  <c r="O17" i="68" s="1"/>
  <c r="K14" i="68" a="1"/>
  <c r="K14" i="68" s="1"/>
  <c r="O14" i="68" a="1"/>
  <c r="O14" i="68" s="1"/>
  <c r="AX22" i="68" a="1"/>
  <c r="AX22" i="68" s="1"/>
  <c r="AY23" i="68" s="1"/>
  <c r="R7" i="69"/>
  <c r="R5" i="69"/>
  <c r="R6" i="69"/>
  <c r="R8" i="69"/>
  <c r="R7" i="67"/>
  <c r="R5" i="67"/>
  <c r="R8" i="67"/>
  <c r="R6" i="67"/>
  <c r="K16" i="67" a="1"/>
  <c r="K16" i="67" s="1"/>
  <c r="O16" i="67" a="1"/>
  <c r="O16" i="67" s="1"/>
  <c r="K17" i="67" a="1"/>
  <c r="K17" i="67" s="1"/>
  <c r="O17" i="67" a="1"/>
  <c r="O17" i="67" s="1"/>
  <c r="S16" i="67" a="1"/>
  <c r="S16" i="67" s="1"/>
  <c r="AX22" i="67" a="1"/>
  <c r="AX22" i="67" s="1"/>
  <c r="AX14" i="67" a="1"/>
  <c r="AX14" i="67" s="1"/>
  <c r="O14" i="67" a="1"/>
  <c r="O14" i="67" s="1"/>
  <c r="O15" i="67" a="1"/>
  <c r="O15" i="67" s="1"/>
  <c r="S17" i="67" a="1"/>
  <c r="S17" i="67" s="1"/>
  <c r="S15" i="67" a="1"/>
  <c r="S15" i="67" s="1"/>
  <c r="K14" i="67" a="1"/>
  <c r="K14" i="67" s="1"/>
  <c r="K15" i="67" a="1"/>
  <c r="K15" i="67" s="1"/>
  <c r="S14" i="67" a="1"/>
  <c r="S14" i="67" s="1"/>
  <c r="R6" i="68"/>
  <c r="R7" i="68"/>
  <c r="L15" i="72"/>
  <c r="M15" i="72" s="1"/>
  <c r="L17" i="72"/>
  <c r="M17" i="72" s="1"/>
  <c r="O15" i="62" a="1"/>
  <c r="O15" i="62" s="1"/>
  <c r="K15" i="69" a="1"/>
  <c r="K15" i="69" s="1"/>
  <c r="S17" i="69" a="1"/>
  <c r="S17" i="69" s="1"/>
  <c r="O15" i="69" a="1"/>
  <c r="O15" i="69" s="1"/>
  <c r="AX14" i="69" a="1"/>
  <c r="AX14" i="69" s="1"/>
  <c r="S16" i="69" a="1"/>
  <c r="S16" i="69" s="1"/>
  <c r="O14" i="69" a="1"/>
  <c r="O14" i="69" s="1"/>
  <c r="O16" i="69" a="1"/>
  <c r="O16" i="69" s="1"/>
  <c r="AX22" i="69" a="1"/>
  <c r="AX22" i="69" s="1"/>
  <c r="S14" i="69" a="1"/>
  <c r="S14" i="69" s="1"/>
  <c r="K16" i="69" a="1"/>
  <c r="K16" i="69" s="1"/>
  <c r="K14" i="69" a="1"/>
  <c r="K14" i="69" s="1"/>
  <c r="K17" i="69" a="1"/>
  <c r="K17" i="69" s="1"/>
  <c r="O17" i="69" a="1"/>
  <c r="O17" i="69" s="1"/>
  <c r="S15" i="69" a="1"/>
  <c r="S15" i="69" s="1"/>
  <c r="P16" i="66"/>
  <c r="Q16" i="66" s="1"/>
  <c r="P15" i="66"/>
  <c r="Q15" i="66" s="1"/>
  <c r="T15" i="66" s="1"/>
  <c r="U15" i="66" s="1"/>
  <c r="AX14" i="62" a="1"/>
  <c r="AX14" i="62" s="1"/>
  <c r="L14" i="72"/>
  <c r="M14" i="72" s="1"/>
  <c r="L16" i="72"/>
  <c r="M16" i="72" s="1"/>
  <c r="R6" i="62"/>
  <c r="R8" i="62"/>
  <c r="R7" i="62"/>
  <c r="K16" i="62" a="1"/>
  <c r="K16" i="62" s="1"/>
  <c r="L15" i="63"/>
  <c r="M15" i="63" s="1"/>
  <c r="P15" i="63" s="1"/>
  <c r="Q15" i="63" s="1"/>
  <c r="L14" i="63"/>
  <c r="M14" i="63" s="1"/>
  <c r="P14" i="63" s="1"/>
  <c r="L17" i="63"/>
  <c r="M17" i="63" s="1"/>
  <c r="L16" i="63"/>
  <c r="M16" i="63" s="1"/>
  <c r="O14" i="62" a="1"/>
  <c r="O14" i="62" s="1"/>
  <c r="S17" i="62" a="1"/>
  <c r="S17" i="62" s="1"/>
  <c r="K17" i="62" a="1"/>
  <c r="K17" i="62" s="1"/>
  <c r="S14" i="62" a="1"/>
  <c r="S14" i="62" s="1"/>
  <c r="O16" i="62" a="1"/>
  <c r="O16" i="62" s="1"/>
  <c r="O17" i="62" a="1"/>
  <c r="O17" i="62" s="1"/>
  <c r="AX22" i="62" a="1"/>
  <c r="AX22" i="62" s="1"/>
  <c r="K14" i="62" a="1"/>
  <c r="K14" i="62" s="1"/>
  <c r="S16" i="62" a="1"/>
  <c r="S16" i="62" s="1"/>
  <c r="S15" i="62" a="1"/>
  <c r="S15" i="62" s="1"/>
  <c r="K15" i="62" a="1"/>
  <c r="K15" i="62" s="1"/>
  <c r="O15" i="70" a="1"/>
  <c r="O15" i="70" s="1"/>
  <c r="AX14" i="70" a="1"/>
  <c r="AX14" i="70" s="1"/>
  <c r="O14" i="70" a="1"/>
  <c r="O14" i="70" s="1"/>
  <c r="K14" i="70" a="1"/>
  <c r="K14" i="70" s="1"/>
  <c r="S15" i="70" a="1"/>
  <c r="S15" i="70" s="1"/>
  <c r="K16" i="70" a="1"/>
  <c r="K16" i="70" s="1"/>
  <c r="S14" i="70" a="1"/>
  <c r="S14" i="70" s="1"/>
  <c r="AX22" i="70" a="1"/>
  <c r="AX22" i="70" s="1"/>
  <c r="AY23" i="70" s="1"/>
  <c r="O16" i="70" a="1"/>
  <c r="O16" i="70" s="1"/>
  <c r="K17" i="70" a="1"/>
  <c r="K17" i="70" s="1"/>
  <c r="K15" i="70" a="1"/>
  <c r="K15" i="70" s="1"/>
  <c r="S17" i="70" a="1"/>
  <c r="S17" i="70" s="1"/>
  <c r="O17" i="70" a="1"/>
  <c r="O17" i="70" s="1"/>
  <c r="S16" i="70" a="1"/>
  <c r="S16" i="70" s="1"/>
  <c r="R7" i="70"/>
  <c r="R5" i="70"/>
  <c r="R8" i="70"/>
  <c r="R6" i="70"/>
  <c r="G17" i="16"/>
  <c r="O132" i="28"/>
  <c r="I2" i="28" s="1"/>
  <c r="I4" i="29" s="1"/>
  <c r="LO132" i="28"/>
  <c r="LI2" i="28" s="1"/>
  <c r="KB132" i="28"/>
  <c r="JV2" i="28" s="1"/>
  <c r="AB132" i="28"/>
  <c r="V2" i="28" s="1"/>
  <c r="I5" i="29" s="1"/>
  <c r="DO132" i="28"/>
  <c r="DI2" i="28" s="1"/>
  <c r="MB132" i="28"/>
  <c r="LV2" i="28" s="1"/>
  <c r="HO132" i="28"/>
  <c r="HI2" i="28" s="1"/>
  <c r="JB132" i="28"/>
  <c r="IV2" i="28" s="1"/>
  <c r="IB132" i="28"/>
  <c r="HV2" i="28" s="1"/>
  <c r="BO132" i="28"/>
  <c r="BI2" i="28" s="1"/>
  <c r="GO132" i="28"/>
  <c r="GI2" i="28" s="1"/>
  <c r="JO132" i="28"/>
  <c r="JI2" i="28" s="1"/>
  <c r="CO132" i="28"/>
  <c r="CI2" i="28" s="1"/>
  <c r="IO132" i="28"/>
  <c r="II2" i="28" s="1"/>
  <c r="FO132" i="28"/>
  <c r="FI2" i="28" s="1"/>
  <c r="LB132" i="28"/>
  <c r="KV2" i="28" s="1"/>
  <c r="KO132" i="28"/>
  <c r="KI2" i="28" s="1"/>
  <c r="CB132" i="28"/>
  <c r="BV2" i="28" s="1"/>
  <c r="EO132" i="28"/>
  <c r="EI2" i="28" s="1"/>
  <c r="EB132" i="28"/>
  <c r="DV2" i="28" s="1"/>
  <c r="AO132" i="28"/>
  <c r="AI2" i="28" s="1"/>
  <c r="FB132" i="28"/>
  <c r="EV2" i="28" s="1"/>
  <c r="GB132" i="28"/>
  <c r="FV2" i="28" s="1"/>
  <c r="DB132" i="28"/>
  <c r="CV2" i="28" s="1"/>
  <c r="HB132" i="28"/>
  <c r="GV2" i="28" s="1"/>
  <c r="BB132" i="28"/>
  <c r="AV2" i="28" s="1"/>
  <c r="S14" i="61" a="1"/>
  <c r="S14" i="61" s="1"/>
  <c r="K14" i="61" a="1"/>
  <c r="K14" i="61" s="1"/>
  <c r="K16" i="61" a="1"/>
  <c r="K16" i="61" s="1"/>
  <c r="O16" i="61" a="1"/>
  <c r="O16" i="61" s="1"/>
  <c r="O17" i="61" a="1"/>
  <c r="O17" i="61" s="1"/>
  <c r="S17" i="61" a="1"/>
  <c r="S17" i="61" s="1"/>
  <c r="K17" i="61" a="1"/>
  <c r="K17" i="61" s="1"/>
  <c r="S15" i="61" a="1"/>
  <c r="S15" i="61" s="1"/>
  <c r="AX22" i="61" a="1"/>
  <c r="AX22" i="61" s="1"/>
  <c r="AX14" i="61" a="1"/>
  <c r="AX14" i="61" s="1"/>
  <c r="S16" i="61" a="1"/>
  <c r="S16" i="61" s="1"/>
  <c r="K15" i="61" a="1"/>
  <c r="K15" i="61" s="1"/>
  <c r="O14" i="61" a="1"/>
  <c r="O14" i="61" s="1"/>
  <c r="O15" i="61" a="1"/>
  <c r="O15" i="61" s="1"/>
  <c r="R7" i="61"/>
  <c r="R5" i="61"/>
  <c r="R6" i="61"/>
  <c r="R8" i="61"/>
  <c r="Q14" i="63"/>
  <c r="Q14" i="66"/>
  <c r="Q17" i="66"/>
  <c r="T17" i="66" s="1"/>
  <c r="U17" i="66" s="1"/>
  <c r="P16" i="64"/>
  <c r="Q16" i="64" s="1"/>
  <c r="P15" i="64"/>
  <c r="Q15" i="64" s="1"/>
  <c r="T15" i="64" s="1"/>
  <c r="U15" i="64" s="1"/>
  <c r="T14" i="64"/>
  <c r="U14" i="64" s="1"/>
  <c r="L15" i="68" l="1"/>
  <c r="M15" i="68" s="1"/>
  <c r="P15" i="65"/>
  <c r="Q15" i="65" s="1"/>
  <c r="T15" i="65" s="1"/>
  <c r="U15" i="65" s="1"/>
  <c r="T15" i="71"/>
  <c r="U15" i="71" s="1"/>
  <c r="P16" i="63"/>
  <c r="Q16" i="63" s="1"/>
  <c r="T16" i="63" s="1"/>
  <c r="U16" i="63" s="1"/>
  <c r="P14" i="65"/>
  <c r="Q14" i="65" s="1"/>
  <c r="T14" i="65" s="1"/>
  <c r="U14" i="65" s="1"/>
  <c r="P17" i="71"/>
  <c r="Q17" i="71" s="1"/>
  <c r="T17" i="71" s="1"/>
  <c r="U17" i="71" s="1"/>
  <c r="L14" i="68"/>
  <c r="M14" i="68" s="1"/>
  <c r="L16" i="68"/>
  <c r="M16" i="68" s="1"/>
  <c r="J5" i="29"/>
  <c r="P14" i="71"/>
  <c r="Q14" i="71" s="1"/>
  <c r="T14" i="71" s="1"/>
  <c r="U14" i="71" s="1"/>
  <c r="P17" i="72"/>
  <c r="Q17" i="72" s="1"/>
  <c r="P17" i="63"/>
  <c r="Q17" i="63" s="1"/>
  <c r="T17" i="63" s="1"/>
  <c r="U17" i="63" s="1"/>
  <c r="T15" i="63"/>
  <c r="U15" i="63" s="1"/>
  <c r="AL44" i="33"/>
  <c r="L17" i="68"/>
  <c r="M17" i="68" s="1"/>
  <c r="L15" i="67"/>
  <c r="M15" i="67" s="1"/>
  <c r="AY24" i="67"/>
  <c r="L17" i="67"/>
  <c r="M17" i="67" s="1"/>
  <c r="L16" i="67"/>
  <c r="M16" i="67" s="1"/>
  <c r="P16" i="67" s="1"/>
  <c r="Q16" i="67" s="1"/>
  <c r="L14" i="67"/>
  <c r="M14" i="67" s="1"/>
  <c r="P16" i="72"/>
  <c r="Q16" i="72" s="1"/>
  <c r="P15" i="72"/>
  <c r="Q15" i="72" s="1"/>
  <c r="P14" i="72"/>
  <c r="Q14" i="72" s="1"/>
  <c r="L16" i="69"/>
  <c r="M16" i="69" s="1"/>
  <c r="L17" i="69"/>
  <c r="M17" i="69" s="1"/>
  <c r="P17" i="69" s="1"/>
  <c r="Q17" i="69" s="1"/>
  <c r="L14" i="69"/>
  <c r="M14" i="69" s="1"/>
  <c r="P14" i="69" s="1"/>
  <c r="Q14" i="69" s="1"/>
  <c r="T14" i="69" s="1"/>
  <c r="U14" i="69" s="1"/>
  <c r="AY22" i="69"/>
  <c r="AY23" i="69"/>
  <c r="L15" i="69"/>
  <c r="M15" i="69" s="1"/>
  <c r="T14" i="66"/>
  <c r="U14" i="66" s="1"/>
  <c r="T16" i="66"/>
  <c r="U16" i="66" s="1"/>
  <c r="T16" i="65"/>
  <c r="U16" i="65" s="1"/>
  <c r="L16" i="62"/>
  <c r="M16" i="62" s="1"/>
  <c r="P16" i="62" s="1"/>
  <c r="Q16" i="62" s="1"/>
  <c r="T16" i="62" s="1"/>
  <c r="U16" i="62" s="1"/>
  <c r="L17" i="62"/>
  <c r="M17" i="62" s="1"/>
  <c r="P17" i="62" s="1"/>
  <c r="Q17" i="62" s="1"/>
  <c r="L14" i="62"/>
  <c r="M14" i="62" s="1"/>
  <c r="P14" i="62" s="1"/>
  <c r="Q14" i="62" s="1"/>
  <c r="L15" i="62"/>
  <c r="M15" i="62" s="1"/>
  <c r="P15" i="62" s="1"/>
  <c r="Q15" i="62" s="1"/>
  <c r="T15" i="62" s="1"/>
  <c r="U15" i="62" s="1"/>
  <c r="L14" i="70"/>
  <c r="M14" i="70" s="1"/>
  <c r="P14" i="70" s="1"/>
  <c r="Q14" i="70" s="1"/>
  <c r="L17" i="70"/>
  <c r="M17" i="70" s="1"/>
  <c r="P17" i="70" s="1"/>
  <c r="Q17" i="70" s="1"/>
  <c r="L16" i="70"/>
  <c r="M16" i="70" s="1"/>
  <c r="L15" i="70"/>
  <c r="M15" i="70" s="1"/>
  <c r="P15" i="70" s="1"/>
  <c r="Q15" i="70" s="1"/>
  <c r="J4" i="29"/>
  <c r="L17" i="61"/>
  <c r="M17" i="61" s="1"/>
  <c r="L15" i="61"/>
  <c r="M15" i="61" s="1"/>
  <c r="L14" i="61"/>
  <c r="M14" i="61" s="1"/>
  <c r="L16" i="61"/>
  <c r="M16" i="61" s="1"/>
  <c r="P16" i="61" s="1"/>
  <c r="Q16" i="61" s="1"/>
  <c r="T16" i="64"/>
  <c r="U16" i="64" s="1"/>
  <c r="BK14" i="64" s="1" a="1"/>
  <c r="P15" i="61" l="1"/>
  <c r="Q15" i="61" s="1"/>
  <c r="P15" i="68"/>
  <c r="Q15" i="68" s="1"/>
  <c r="T15" i="68" s="1"/>
  <c r="U15" i="68" s="1"/>
  <c r="P15" i="69"/>
  <c r="Q15" i="69" s="1"/>
  <c r="T15" i="69" s="1"/>
  <c r="U15" i="69" s="1"/>
  <c r="T14" i="63"/>
  <c r="U14" i="63" s="1"/>
  <c r="AE15" i="63" s="1" a="1"/>
  <c r="AE15" i="63" s="1"/>
  <c r="T16" i="71"/>
  <c r="U16" i="71" s="1"/>
  <c r="AE16" i="71" s="1" a="1"/>
  <c r="AE16" i="71" s="1"/>
  <c r="P16" i="69"/>
  <c r="Q16" i="69" s="1"/>
  <c r="T16" i="69" s="1"/>
  <c r="U16" i="69" s="1"/>
  <c r="P14" i="68"/>
  <c r="Q14" i="68" s="1"/>
  <c r="T14" i="68" s="1"/>
  <c r="U14" i="68" s="1"/>
  <c r="P17" i="68"/>
  <c r="Q17" i="68" s="1"/>
  <c r="T17" i="68" s="1"/>
  <c r="U17" i="68" s="1"/>
  <c r="P14" i="61"/>
  <c r="Q14" i="61" s="1"/>
  <c r="T14" i="61" s="1"/>
  <c r="U14" i="61" s="1"/>
  <c r="P17" i="61"/>
  <c r="Q17" i="61" s="1"/>
  <c r="T17" i="61" s="1"/>
  <c r="U17" i="61" s="1"/>
  <c r="T17" i="72"/>
  <c r="U17" i="72" s="1"/>
  <c r="G5" i="29"/>
  <c r="T14" i="62"/>
  <c r="U14" i="62" s="1"/>
  <c r="T17" i="62"/>
  <c r="U17" i="62" s="1"/>
  <c r="P16" i="68"/>
  <c r="Q16" i="68" s="1"/>
  <c r="T16" i="68" s="1"/>
  <c r="U16" i="68" s="1"/>
  <c r="P17" i="67"/>
  <c r="Q17" i="67" s="1"/>
  <c r="P15" i="67"/>
  <c r="Q15" i="67" s="1"/>
  <c r="T15" i="67" s="1"/>
  <c r="U15" i="67" s="1"/>
  <c r="P14" i="67"/>
  <c r="Q14" i="67" s="1"/>
  <c r="T14" i="67" s="1"/>
  <c r="U14" i="67" s="1"/>
  <c r="AA14" i="66" a="1"/>
  <c r="AA14" i="66" s="1"/>
  <c r="T16" i="72"/>
  <c r="U16" i="72" s="1"/>
  <c r="T16" i="67"/>
  <c r="U16" i="67" s="1"/>
  <c r="W17" i="66" a="1"/>
  <c r="W17" i="66" s="1"/>
  <c r="T14" i="72"/>
  <c r="U14" i="72" s="1"/>
  <c r="T15" i="72"/>
  <c r="U15" i="72" s="1"/>
  <c r="W16" i="66" a="1"/>
  <c r="W16" i="66" s="1"/>
  <c r="W14" i="66" a="1"/>
  <c r="W14" i="66" s="1"/>
  <c r="AE15" i="66" a="1"/>
  <c r="AE15" i="66" s="1"/>
  <c r="AA15" i="66" a="1"/>
  <c r="AA15" i="66" s="1"/>
  <c r="W15" i="66" a="1"/>
  <c r="W15" i="66" s="1"/>
  <c r="AE14" i="66" a="1"/>
  <c r="AE14" i="66" s="1"/>
  <c r="BK14" i="66" a="1"/>
  <c r="BK14" i="66" s="1"/>
  <c r="AA16" i="66" a="1"/>
  <c r="AA16" i="66" s="1"/>
  <c r="AE16" i="66" a="1"/>
  <c r="AE16" i="66" s="1"/>
  <c r="AA17" i="66" a="1"/>
  <c r="AA17" i="66" s="1"/>
  <c r="AE17" i="66" a="1"/>
  <c r="AE17" i="66" s="1"/>
  <c r="T17" i="69"/>
  <c r="U17" i="69" s="1"/>
  <c r="W17" i="65" a="1"/>
  <c r="W17" i="65" s="1"/>
  <c r="AA14" i="65" a="1"/>
  <c r="AA14" i="65" s="1"/>
  <c r="BK14" i="65" a="1"/>
  <c r="BK16" i="65" s="1"/>
  <c r="AA15" i="65" a="1"/>
  <c r="AA15" i="65" s="1"/>
  <c r="AE14" i="65" a="1"/>
  <c r="AE14" i="65" s="1"/>
  <c r="W16" i="65" a="1"/>
  <c r="W16" i="65" s="1"/>
  <c r="AA16" i="65" a="1"/>
  <c r="AA16" i="65" s="1"/>
  <c r="W14" i="65" a="1"/>
  <c r="W14" i="65" s="1"/>
  <c r="AA17" i="65" a="1"/>
  <c r="AA17" i="65" s="1"/>
  <c r="AE15" i="65" a="1"/>
  <c r="AE15" i="65" s="1"/>
  <c r="W15" i="65" a="1"/>
  <c r="W15" i="65" s="1"/>
  <c r="AE16" i="65" a="1"/>
  <c r="AE16" i="65" s="1"/>
  <c r="AE17" i="65" a="1"/>
  <c r="AE17" i="65" s="1"/>
  <c r="W17" i="63" a="1"/>
  <c r="W17" i="63" s="1"/>
  <c r="W14" i="63" a="1"/>
  <c r="W14" i="63" s="1"/>
  <c r="W16" i="63" a="1"/>
  <c r="W16" i="63" s="1"/>
  <c r="W15" i="63" a="1"/>
  <c r="W15" i="63" s="1"/>
  <c r="AA17" i="63" a="1"/>
  <c r="AA17" i="63" s="1"/>
  <c r="AE16" i="63" a="1"/>
  <c r="AE16" i="63" s="1"/>
  <c r="AA15" i="63" a="1"/>
  <c r="AA15" i="63" s="1"/>
  <c r="BK14" i="63" a="1"/>
  <c r="BK17" i="63" s="1"/>
  <c r="AA14" i="63" a="1"/>
  <c r="AA14" i="63" s="1"/>
  <c r="T14" i="70"/>
  <c r="U14" i="70" s="1"/>
  <c r="T15" i="70"/>
  <c r="U15" i="70" s="1"/>
  <c r="T17" i="70"/>
  <c r="U17" i="70" s="1"/>
  <c r="P16" i="70"/>
  <c r="Q16" i="70" s="1"/>
  <c r="T16" i="70" s="1"/>
  <c r="U16" i="70" s="1"/>
  <c r="G4" i="29"/>
  <c r="AE14" i="64" a="1"/>
  <c r="AE14" i="64" s="1"/>
  <c r="AA17" i="64" a="1"/>
  <c r="AA17" i="64" s="1"/>
  <c r="AE15" i="64" a="1"/>
  <c r="AE15" i="64" s="1"/>
  <c r="AA14" i="64" a="1"/>
  <c r="AA14" i="64" s="1"/>
  <c r="W16" i="64" a="1"/>
  <c r="W16" i="64" s="1"/>
  <c r="W15" i="64" a="1"/>
  <c r="W15" i="64" s="1"/>
  <c r="AE16" i="64" a="1"/>
  <c r="AE16" i="64" s="1"/>
  <c r="AA15" i="64" a="1"/>
  <c r="AA15" i="64" s="1"/>
  <c r="AE17" i="64" a="1"/>
  <c r="AE17" i="64" s="1"/>
  <c r="AA16" i="64" a="1"/>
  <c r="AA16" i="64" s="1"/>
  <c r="W17" i="64" a="1"/>
  <c r="W17" i="64" s="1"/>
  <c r="W14" i="64" a="1"/>
  <c r="W14" i="64" s="1"/>
  <c r="BK15" i="64"/>
  <c r="BK16" i="64"/>
  <c r="BK17" i="64"/>
  <c r="BK14" i="64"/>
  <c r="BK14" i="63"/>
  <c r="W17" i="62" l="1" a="1"/>
  <c r="W17" i="62" s="1"/>
  <c r="T15" i="61"/>
  <c r="U15" i="61" s="1"/>
  <c r="T16" i="61"/>
  <c r="U16" i="61" s="1"/>
  <c r="AA16" i="61" s="1" a="1"/>
  <c r="AA16" i="61" s="1"/>
  <c r="AA15" i="62" a="1"/>
  <c r="AA15" i="62" s="1"/>
  <c r="W16" i="71" a="1"/>
  <c r="W16" i="71" s="1"/>
  <c r="BK15" i="63"/>
  <c r="AA16" i="71" a="1"/>
  <c r="AA16" i="71" s="1"/>
  <c r="AA15" i="71" a="1"/>
  <c r="AA15" i="71" s="1"/>
  <c r="W14" i="71" a="1"/>
  <c r="W14" i="71" s="1"/>
  <c r="AE17" i="63" a="1"/>
  <c r="AE17" i="63" s="1"/>
  <c r="W15" i="71" a="1"/>
  <c r="W15" i="71" s="1"/>
  <c r="AE14" i="63" a="1"/>
  <c r="AE14" i="63" s="1"/>
  <c r="AA16" i="63" a="1"/>
  <c r="AA16" i="63" s="1"/>
  <c r="BK14" i="69" a="1"/>
  <c r="BK15" i="69" s="1"/>
  <c r="AE14" i="71" a="1"/>
  <c r="AE14" i="71" s="1"/>
  <c r="W16" i="61" a="1"/>
  <c r="W16" i="61" s="1"/>
  <c r="AE15" i="61" a="1"/>
  <c r="AE15" i="61" s="1"/>
  <c r="AE14" i="61" a="1"/>
  <c r="AE14" i="61" s="1"/>
  <c r="BK14" i="61" a="1"/>
  <c r="BK16" i="61" s="1"/>
  <c r="BK14" i="62" a="1"/>
  <c r="BK15" i="62" s="1"/>
  <c r="AA14" i="61" a="1"/>
  <c r="AA14" i="61" s="1"/>
  <c r="AE16" i="61" a="1"/>
  <c r="AE16" i="61" s="1"/>
  <c r="AA17" i="62" a="1"/>
  <c r="AA17" i="62" s="1"/>
  <c r="AE17" i="62" a="1"/>
  <c r="AE17" i="62" s="1"/>
  <c r="AE17" i="71" a="1"/>
  <c r="AE17" i="71" s="1"/>
  <c r="W16" i="62" a="1"/>
  <c r="W16" i="62" s="1"/>
  <c r="W15" i="62" a="1"/>
  <c r="W15" i="62" s="1"/>
  <c r="W14" i="69" a="1"/>
  <c r="W14" i="69" s="1"/>
  <c r="X17" i="69" s="1"/>
  <c r="Y17" i="69" s="1"/>
  <c r="W17" i="71" a="1"/>
  <c r="W17" i="71" s="1"/>
  <c r="W14" i="62" a="1"/>
  <c r="W14" i="62" s="1"/>
  <c r="AA14" i="69" a="1"/>
  <c r="AA14" i="69" s="1"/>
  <c r="AA17" i="71" a="1"/>
  <c r="AA17" i="71" s="1"/>
  <c r="AE16" i="62" a="1"/>
  <c r="AE16" i="62" s="1"/>
  <c r="AE14" i="69" a="1"/>
  <c r="AE14" i="69" s="1"/>
  <c r="BK14" i="71" a="1"/>
  <c r="AE14" i="62" a="1"/>
  <c r="AE14" i="62" s="1"/>
  <c r="AA16" i="69" a="1"/>
  <c r="AA16" i="69" s="1"/>
  <c r="AA14" i="62" a="1"/>
  <c r="AA14" i="62" s="1"/>
  <c r="W16" i="69" a="1"/>
  <c r="W16" i="69" s="1"/>
  <c r="AA14" i="71" a="1"/>
  <c r="AA14" i="71" s="1"/>
  <c r="AE17" i="69" a="1"/>
  <c r="AE17" i="69" s="1"/>
  <c r="AA16" i="62" a="1"/>
  <c r="AA16" i="62" s="1"/>
  <c r="AE15" i="62" a="1"/>
  <c r="AE15" i="62" s="1"/>
  <c r="AA17" i="69" a="1"/>
  <c r="AA17" i="69" s="1"/>
  <c r="T17" i="67"/>
  <c r="U17" i="67" s="1"/>
  <c r="BK14" i="67" s="1" a="1"/>
  <c r="AE15" i="69" a="1"/>
  <c r="AE15" i="69" s="1"/>
  <c r="W17" i="69" a="1"/>
  <c r="W17" i="69" s="1"/>
  <c r="AE15" i="71" a="1"/>
  <c r="AE15" i="71" s="1"/>
  <c r="BK14" i="65"/>
  <c r="BK17" i="65"/>
  <c r="X15" i="63"/>
  <c r="Y15" i="63" s="1"/>
  <c r="X16" i="65"/>
  <c r="Y16" i="65" s="1"/>
  <c r="AB16" i="65" s="1"/>
  <c r="AC16" i="65" s="1"/>
  <c r="X15" i="65"/>
  <c r="Y15" i="65" s="1"/>
  <c r="X16" i="63"/>
  <c r="Y16" i="63" s="1"/>
  <c r="X17" i="63"/>
  <c r="Y17" i="63" s="1"/>
  <c r="BK15" i="66"/>
  <c r="BK17" i="66"/>
  <c r="BK16" i="66"/>
  <c r="X14" i="63"/>
  <c r="Y14" i="63" s="1"/>
  <c r="C70" i="29"/>
  <c r="W15" i="69" a="1"/>
  <c r="W15" i="69" s="1"/>
  <c r="BK16" i="63"/>
  <c r="AE17" i="72" a="1"/>
  <c r="AE17" i="72" s="1"/>
  <c r="W16" i="72" a="1"/>
  <c r="W16" i="72" s="1"/>
  <c r="W17" i="68" a="1"/>
  <c r="W17" i="68" s="1"/>
  <c r="AE14" i="72" a="1"/>
  <c r="AE14" i="72" s="1"/>
  <c r="AE16" i="72" a="1"/>
  <c r="AE16" i="72" s="1"/>
  <c r="AA14" i="72" a="1"/>
  <c r="AA14" i="72" s="1"/>
  <c r="W16" i="68" a="1"/>
  <c r="W16" i="68" s="1"/>
  <c r="AE17" i="68" a="1"/>
  <c r="AE17" i="68" s="1"/>
  <c r="AA15" i="72" a="1"/>
  <c r="AA15" i="72" s="1"/>
  <c r="AA14" i="68" a="1"/>
  <c r="AA14" i="68" s="1"/>
  <c r="BK14" i="68" a="1"/>
  <c r="X17" i="65"/>
  <c r="Y17" i="65" s="1"/>
  <c r="AB17" i="65" s="1"/>
  <c r="AC17" i="65" s="1"/>
  <c r="AF17" i="65" s="1"/>
  <c r="AG17" i="65" s="1"/>
  <c r="AE16" i="69" a="1"/>
  <c r="AE16" i="69" s="1"/>
  <c r="AE16" i="68" a="1"/>
  <c r="AE16" i="68" s="1"/>
  <c r="AA15" i="68" a="1"/>
  <c r="AA15" i="68" s="1"/>
  <c r="AE15" i="68" a="1"/>
  <c r="AE15" i="68" s="1"/>
  <c r="W14" i="68" a="1"/>
  <c r="W14" i="68" s="1"/>
  <c r="W15" i="68" a="1"/>
  <c r="W15" i="68" s="1"/>
  <c r="AA17" i="72" a="1"/>
  <c r="AA17" i="72" s="1"/>
  <c r="AA16" i="68" a="1"/>
  <c r="AA16" i="68" s="1"/>
  <c r="AE14" i="67" a="1"/>
  <c r="AE14" i="67" s="1"/>
  <c r="AA17" i="68" a="1"/>
  <c r="AA17" i="68" s="1"/>
  <c r="AE14" i="68" a="1"/>
  <c r="AE14" i="68" s="1"/>
  <c r="W15" i="72" a="1"/>
  <c r="W15" i="72" s="1"/>
  <c r="AA15" i="69" a="1"/>
  <c r="AA15" i="69" s="1"/>
  <c r="W17" i="72" a="1"/>
  <c r="W17" i="72" s="1"/>
  <c r="BK14" i="72" a="1"/>
  <c r="W14" i="72" a="1"/>
  <c r="W14" i="72" s="1"/>
  <c r="AE15" i="72" a="1"/>
  <c r="AE15" i="72" s="1"/>
  <c r="AA16" i="72" a="1"/>
  <c r="AA16" i="72" s="1"/>
  <c r="X15" i="66"/>
  <c r="Y15" i="66" s="1"/>
  <c r="AB15" i="66" s="1"/>
  <c r="AC15" i="66" s="1"/>
  <c r="X14" i="66"/>
  <c r="Y14" i="66" s="1"/>
  <c r="AB14" i="66" s="1"/>
  <c r="AC14" i="66" s="1"/>
  <c r="X16" i="66"/>
  <c r="Y16" i="66" s="1"/>
  <c r="AB16" i="66" s="1"/>
  <c r="X17" i="66"/>
  <c r="Y17" i="66" s="1"/>
  <c r="AB17" i="66" s="1"/>
  <c r="BK15" i="65"/>
  <c r="BX14" i="65" s="1" a="1"/>
  <c r="BX14" i="65" s="1"/>
  <c r="BZ7" i="65" s="1"/>
  <c r="AB15" i="65"/>
  <c r="AC15" i="65" s="1"/>
  <c r="X14" i="65"/>
  <c r="Y14" i="65" s="1"/>
  <c r="AB14" i="65" s="1"/>
  <c r="AE14" i="70" a="1"/>
  <c r="AE14" i="70" s="1"/>
  <c r="AE16" i="70" a="1"/>
  <c r="AE16" i="70" s="1"/>
  <c r="W15" i="70" a="1"/>
  <c r="W15" i="70" s="1"/>
  <c r="AA15" i="70" a="1"/>
  <c r="AA15" i="70" s="1"/>
  <c r="D65" i="29"/>
  <c r="AE17" i="70" a="1"/>
  <c r="AE17" i="70" s="1"/>
  <c r="AA17" i="70" a="1"/>
  <c r="AA17" i="70" s="1"/>
  <c r="AE15" i="70" a="1"/>
  <c r="AE15" i="70" s="1"/>
  <c r="BK14" i="70" a="1"/>
  <c r="AA14" i="70" a="1"/>
  <c r="AA14" i="70" s="1"/>
  <c r="W14" i="70" a="1"/>
  <c r="W14" i="70" s="1"/>
  <c r="AA16" i="70" a="1"/>
  <c r="AA16" i="70" s="1"/>
  <c r="W17" i="70" a="1"/>
  <c r="W17" i="70" s="1"/>
  <c r="W16" i="70" a="1"/>
  <c r="W16" i="70" s="1"/>
  <c r="C54" i="29"/>
  <c r="D73" i="29"/>
  <c r="D23" i="29"/>
  <c r="D4" i="29"/>
  <c r="D101" i="29"/>
  <c r="C77" i="29"/>
  <c r="C94" i="29"/>
  <c r="C75" i="29"/>
  <c r="D102" i="29"/>
  <c r="C16" i="29"/>
  <c r="D35" i="29"/>
  <c r="C59" i="29"/>
  <c r="C50" i="29"/>
  <c r="D36" i="29"/>
  <c r="C13" i="29"/>
  <c r="D55" i="29"/>
  <c r="C53" i="29"/>
  <c r="C43" i="29"/>
  <c r="D64" i="29"/>
  <c r="D49" i="29"/>
  <c r="D80" i="29"/>
  <c r="C96" i="29"/>
  <c r="D58" i="29"/>
  <c r="D98" i="29"/>
  <c r="C63" i="29"/>
  <c r="D70" i="29"/>
  <c r="D79" i="29"/>
  <c r="C37" i="29"/>
  <c r="C7" i="29"/>
  <c r="D29" i="29"/>
  <c r="C78" i="29"/>
  <c r="C71" i="29"/>
  <c r="C56" i="29"/>
  <c r="D47" i="29"/>
  <c r="D42" i="29"/>
  <c r="C87" i="29"/>
  <c r="D28" i="29"/>
  <c r="D38" i="29"/>
  <c r="D88" i="29"/>
  <c r="D54" i="29"/>
  <c r="C19" i="29"/>
  <c r="C85" i="29"/>
  <c r="D100" i="29"/>
  <c r="C26" i="29"/>
  <c r="C35" i="29"/>
  <c r="D82" i="29"/>
  <c r="D52" i="29"/>
  <c r="D5" i="29"/>
  <c r="D19" i="29"/>
  <c r="D9" i="29"/>
  <c r="D32" i="29"/>
  <c r="D68" i="29"/>
  <c r="C55" i="29"/>
  <c r="D10" i="29"/>
  <c r="D59" i="29"/>
  <c r="D94" i="29"/>
  <c r="D22" i="29"/>
  <c r="C60" i="29"/>
  <c r="D26" i="29"/>
  <c r="C69" i="29"/>
  <c r="D20" i="29"/>
  <c r="D78" i="29"/>
  <c r="D62" i="29"/>
  <c r="D24" i="29"/>
  <c r="D93" i="29"/>
  <c r="D11" i="29"/>
  <c r="C52" i="29"/>
  <c r="D87" i="29"/>
  <c r="D31" i="29"/>
  <c r="C41" i="29"/>
  <c r="D6" i="29"/>
  <c r="D41" i="29"/>
  <c r="C42" i="29"/>
  <c r="C28" i="29"/>
  <c r="D66" i="29"/>
  <c r="C49" i="29"/>
  <c r="C76" i="29"/>
  <c r="D46" i="29"/>
  <c r="C88" i="29"/>
  <c r="D96" i="29"/>
  <c r="D27" i="29"/>
  <c r="C102" i="29"/>
  <c r="D48" i="29"/>
  <c r="C92" i="29"/>
  <c r="D61" i="29"/>
  <c r="D37" i="29"/>
  <c r="D91" i="29"/>
  <c r="D85" i="29"/>
  <c r="D33" i="29"/>
  <c r="C46" i="29"/>
  <c r="C84" i="29"/>
  <c r="C100" i="29"/>
  <c r="C36" i="29"/>
  <c r="C20" i="29"/>
  <c r="C34" i="29"/>
  <c r="C81" i="29"/>
  <c r="C97" i="29"/>
  <c r="C22" i="29"/>
  <c r="D40" i="29"/>
  <c r="C68" i="29"/>
  <c r="D43" i="29"/>
  <c r="D7" i="29"/>
  <c r="C103" i="29"/>
  <c r="D76" i="29"/>
  <c r="D69" i="29"/>
  <c r="C12" i="29"/>
  <c r="C21" i="29"/>
  <c r="C29" i="29"/>
  <c r="D74" i="29"/>
  <c r="C31" i="29"/>
  <c r="D21" i="29"/>
  <c r="C25" i="29"/>
  <c r="D34" i="29"/>
  <c r="D84" i="29"/>
  <c r="C14" i="29"/>
  <c r="C9" i="29"/>
  <c r="D13" i="29"/>
  <c r="D97" i="29"/>
  <c r="C82" i="29"/>
  <c r="C101" i="29"/>
  <c r="C98" i="29"/>
  <c r="C62" i="29"/>
  <c r="C6" i="29"/>
  <c r="C72" i="29"/>
  <c r="C65" i="29"/>
  <c r="C44" i="29"/>
  <c r="C27" i="29"/>
  <c r="D53" i="29"/>
  <c r="C33" i="29"/>
  <c r="C15" i="29"/>
  <c r="C47" i="29"/>
  <c r="D12" i="29"/>
  <c r="D99" i="29"/>
  <c r="C48" i="29"/>
  <c r="D103" i="29"/>
  <c r="C91" i="29"/>
  <c r="C83" i="29"/>
  <c r="D89" i="29"/>
  <c r="C18" i="29"/>
  <c r="D56" i="29"/>
  <c r="C80" i="29"/>
  <c r="C24" i="29"/>
  <c r="D72" i="29"/>
  <c r="D14" i="29"/>
  <c r="C11" i="29"/>
  <c r="C30" i="29"/>
  <c r="D18" i="29"/>
  <c r="C95" i="29"/>
  <c r="C64" i="29"/>
  <c r="C38" i="29"/>
  <c r="D83" i="29"/>
  <c r="D17" i="29"/>
  <c r="C66" i="29"/>
  <c r="C73" i="29"/>
  <c r="C5" i="29"/>
  <c r="D71" i="29"/>
  <c r="D57" i="29"/>
  <c r="D51" i="29"/>
  <c r="C39" i="29"/>
  <c r="D50" i="29"/>
  <c r="D15" i="29"/>
  <c r="C99" i="29"/>
  <c r="D92" i="29"/>
  <c r="D30" i="29"/>
  <c r="D60" i="29"/>
  <c r="D77" i="29"/>
  <c r="C93" i="29"/>
  <c r="D95" i="29"/>
  <c r="D86" i="29"/>
  <c r="C74" i="29"/>
  <c r="C86" i="29"/>
  <c r="C90" i="29"/>
  <c r="C8" i="29"/>
  <c r="D44" i="29"/>
  <c r="C4" i="29"/>
  <c r="D25" i="29"/>
  <c r="C10" i="29"/>
  <c r="C61" i="29"/>
  <c r="D8" i="29"/>
  <c r="C45" i="29"/>
  <c r="D67" i="29"/>
  <c r="D81" i="29"/>
  <c r="C32" i="29"/>
  <c r="D39" i="29"/>
  <c r="C40" i="29"/>
  <c r="D90" i="29"/>
  <c r="C23" i="29"/>
  <c r="D75" i="29"/>
  <c r="C58" i="29"/>
  <c r="D63" i="29"/>
  <c r="C51" i="29"/>
  <c r="C79" i="29"/>
  <c r="D45" i="29"/>
  <c r="D16" i="29"/>
  <c r="C17" i="29"/>
  <c r="C67" i="29"/>
  <c r="C57" i="29"/>
  <c r="C89" i="29"/>
  <c r="BK16" i="69"/>
  <c r="X14" i="64"/>
  <c r="Y14" i="64" s="1"/>
  <c r="AB14" i="64" s="1"/>
  <c r="AC14" i="64" s="1"/>
  <c r="BK17" i="69"/>
  <c r="X16" i="69"/>
  <c r="Y16" i="69" s="1"/>
  <c r="X15" i="69"/>
  <c r="Y15" i="69" s="1"/>
  <c r="X16" i="64"/>
  <c r="Y16" i="64" s="1"/>
  <c r="AB16" i="64" s="1"/>
  <c r="AC16" i="64" s="1"/>
  <c r="BX14" i="64" a="1"/>
  <c r="BX14" i="64" s="1"/>
  <c r="BZ6" i="64" s="1"/>
  <c r="BL15" i="64" a="1"/>
  <c r="BL15" i="64" s="1"/>
  <c r="BJ14" i="64" s="1"/>
  <c r="BL14" i="64" s="1"/>
  <c r="BN7" i="64" s="1"/>
  <c r="X15" i="64"/>
  <c r="Y15" i="64" s="1"/>
  <c r="AB15" i="64" s="1"/>
  <c r="AC15" i="64" s="1"/>
  <c r="AF15" i="64" s="1"/>
  <c r="AG15" i="64" s="1"/>
  <c r="X17" i="64"/>
  <c r="Y17" i="64" s="1"/>
  <c r="AB17" i="64" s="1"/>
  <c r="AC17" i="64" s="1"/>
  <c r="X14" i="62"/>
  <c r="Y14" i="62" s="1"/>
  <c r="BL15" i="63" a="1"/>
  <c r="BL15" i="63" s="1"/>
  <c r="BJ14" i="63" s="1"/>
  <c r="BL14" i="63" s="1"/>
  <c r="BX14" i="63" a="1"/>
  <c r="BX14" i="63" s="1"/>
  <c r="AF15" i="65"/>
  <c r="AG15" i="65" s="1"/>
  <c r="AA15" i="61" l="1" a="1"/>
  <c r="AA15" i="61" s="1"/>
  <c r="W15" i="61" a="1"/>
  <c r="W15" i="61" s="1"/>
  <c r="BK17" i="61"/>
  <c r="AE17" i="61" a="1"/>
  <c r="AE17" i="61" s="1"/>
  <c r="AA17" i="61" a="1"/>
  <c r="AA17" i="61" s="1"/>
  <c r="W17" i="61" a="1"/>
  <c r="W17" i="61" s="1"/>
  <c r="X14" i="69"/>
  <c r="Y14" i="69" s="1"/>
  <c r="W14" i="61" a="1"/>
  <c r="W14" i="61" s="1"/>
  <c r="X14" i="61" s="1"/>
  <c r="Y14" i="61" s="1"/>
  <c r="AB15" i="63"/>
  <c r="AC15" i="63" s="1"/>
  <c r="BK16" i="62"/>
  <c r="BK14" i="62"/>
  <c r="BK17" i="62"/>
  <c r="BK14" i="61"/>
  <c r="BL15" i="61" s="1" a="1"/>
  <c r="BL15" i="61" s="1"/>
  <c r="BJ14" i="61" s="1"/>
  <c r="BL14" i="61" s="1"/>
  <c r="BN8" i="61" s="1"/>
  <c r="AB16" i="63"/>
  <c r="AC16" i="63" s="1"/>
  <c r="AB14" i="63"/>
  <c r="AC14" i="63" s="1"/>
  <c r="AB17" i="63"/>
  <c r="AC17" i="63" s="1"/>
  <c r="AF17" i="63" s="1"/>
  <c r="AG17" i="63" s="1"/>
  <c r="BK15" i="61"/>
  <c r="X17" i="62"/>
  <c r="Y17" i="62" s="1"/>
  <c r="AB17" i="62" s="1"/>
  <c r="AC17" i="62" s="1"/>
  <c r="AF17" i="62" s="1"/>
  <c r="AG17" i="62" s="1"/>
  <c r="X15" i="62"/>
  <c r="Y15" i="62" s="1"/>
  <c r="AB15" i="62" s="1"/>
  <c r="AC15" i="62" s="1"/>
  <c r="AF15" i="62" s="1"/>
  <c r="AG15" i="62" s="1"/>
  <c r="X16" i="62"/>
  <c r="Y16" i="62" s="1"/>
  <c r="AB16" i="62" s="1"/>
  <c r="AC16" i="62" s="1"/>
  <c r="AF16" i="62" s="1"/>
  <c r="AG16" i="62" s="1"/>
  <c r="BK14" i="69"/>
  <c r="AA16" i="67" a="1"/>
  <c r="AA16" i="67" s="1"/>
  <c r="BX14" i="66" a="1"/>
  <c r="BX14" i="66" s="1"/>
  <c r="BZ5" i="66" s="1"/>
  <c r="X15" i="61"/>
  <c r="Y15" i="61" s="1"/>
  <c r="AB15" i="61" s="1"/>
  <c r="AC15" i="61" s="1"/>
  <c r="W16" i="67" a="1"/>
  <c r="W16" i="67" s="1"/>
  <c r="AA15" i="67" a="1"/>
  <c r="AA15" i="67" s="1"/>
  <c r="AE16" i="67" a="1"/>
  <c r="AE16" i="67" s="1"/>
  <c r="W17" i="67" a="1"/>
  <c r="W17" i="67" s="1"/>
  <c r="BL15" i="66" a="1"/>
  <c r="BL15" i="66" s="1"/>
  <c r="BJ14" i="66" s="1"/>
  <c r="BL14" i="66" s="1"/>
  <c r="BN6" i="66" s="1"/>
  <c r="AA17" i="67" a="1"/>
  <c r="AA17" i="67" s="1"/>
  <c r="W15" i="67" a="1"/>
  <c r="W15" i="67" s="1"/>
  <c r="AE15" i="67" a="1"/>
  <c r="AE15" i="67" s="1"/>
  <c r="AB14" i="62"/>
  <c r="AC14" i="62" s="1"/>
  <c r="AF14" i="62" s="1"/>
  <c r="AG14" i="62" s="1"/>
  <c r="AI14" i="62" s="1"/>
  <c r="AJ14" i="62" s="1"/>
  <c r="BK16" i="67"/>
  <c r="BK14" i="67"/>
  <c r="BK17" i="67"/>
  <c r="BK15" i="67"/>
  <c r="AA14" i="67" a="1"/>
  <c r="AA14" i="67" s="1"/>
  <c r="X15" i="71"/>
  <c r="Y15" i="71" s="1"/>
  <c r="AB15" i="71" s="1"/>
  <c r="AC15" i="71" s="1"/>
  <c r="AF15" i="71" s="1"/>
  <c r="AG15" i="71" s="1"/>
  <c r="X14" i="71"/>
  <c r="Y14" i="71" s="1"/>
  <c r="AB14" i="71" s="1"/>
  <c r="AC14" i="71" s="1"/>
  <c r="AF14" i="71" s="1"/>
  <c r="AG14" i="71" s="1"/>
  <c r="X16" i="71"/>
  <c r="Y16" i="71" s="1"/>
  <c r="AB16" i="71" s="1"/>
  <c r="AC16" i="71" s="1"/>
  <c r="AF16" i="71" s="1"/>
  <c r="AG16" i="71" s="1"/>
  <c r="X17" i="71"/>
  <c r="Y17" i="71" s="1"/>
  <c r="AB17" i="71" s="1"/>
  <c r="AC17" i="71" s="1"/>
  <c r="AF17" i="71" s="1"/>
  <c r="AG17" i="71" s="1"/>
  <c r="W14" i="67" a="1"/>
  <c r="W14" i="67" s="1"/>
  <c r="AE17" i="67" a="1"/>
  <c r="AE17" i="67" s="1"/>
  <c r="BK17" i="71"/>
  <c r="BK15" i="71"/>
  <c r="BK16" i="71"/>
  <c r="BK14" i="71"/>
  <c r="AC16" i="66"/>
  <c r="AF16" i="66" s="1"/>
  <c r="AG16" i="66" s="1"/>
  <c r="AC14" i="65"/>
  <c r="AF16" i="65" s="1"/>
  <c r="AG16" i="65" s="1"/>
  <c r="AC17" i="66"/>
  <c r="AF17" i="66" s="1"/>
  <c r="AG17" i="66" s="1"/>
  <c r="AB16" i="69"/>
  <c r="AC16" i="69" s="1"/>
  <c r="AB14" i="69"/>
  <c r="AC14" i="69" s="1"/>
  <c r="AF14" i="69" s="1"/>
  <c r="AG14" i="69" s="1"/>
  <c r="AB15" i="69"/>
  <c r="AC15" i="69" s="1"/>
  <c r="AF15" i="69" s="1"/>
  <c r="AG15" i="69" s="1"/>
  <c r="AB17" i="69"/>
  <c r="AC17" i="69" s="1"/>
  <c r="X15" i="68"/>
  <c r="Y15" i="68" s="1"/>
  <c r="AB15" i="68" s="1"/>
  <c r="AC15" i="68" s="1"/>
  <c r="AF15" i="68" s="1"/>
  <c r="AG15" i="68" s="1"/>
  <c r="BK15" i="68"/>
  <c r="BK16" i="68"/>
  <c r="BK17" i="68"/>
  <c r="BK14" i="68"/>
  <c r="X17" i="68"/>
  <c r="Y17" i="68" s="1"/>
  <c r="AB17" i="68" s="1"/>
  <c r="AC17" i="68" s="1"/>
  <c r="AF17" i="68" s="1"/>
  <c r="AG17" i="68" s="1"/>
  <c r="X16" i="68"/>
  <c r="Y16" i="68" s="1"/>
  <c r="AB16" i="68" s="1"/>
  <c r="AC16" i="68" s="1"/>
  <c r="AF16" i="68" s="1"/>
  <c r="AG16" i="68" s="1"/>
  <c r="X14" i="68"/>
  <c r="Y14" i="68" s="1"/>
  <c r="AB14" i="68" s="1"/>
  <c r="AC14" i="68" s="1"/>
  <c r="AF14" i="68" s="1"/>
  <c r="AG14" i="68" s="1"/>
  <c r="X16" i="72"/>
  <c r="Y16" i="72" s="1"/>
  <c r="AB16" i="72" s="1"/>
  <c r="AC16" i="72" s="1"/>
  <c r="AF16" i="72" s="1"/>
  <c r="AG16" i="72" s="1"/>
  <c r="X14" i="72"/>
  <c r="Y14" i="72" s="1"/>
  <c r="AB14" i="72" s="1"/>
  <c r="AC14" i="72" s="1"/>
  <c r="AF14" i="72" s="1"/>
  <c r="AG14" i="72" s="1"/>
  <c r="BK17" i="72"/>
  <c r="BK16" i="72"/>
  <c r="BK15" i="72"/>
  <c r="BK14" i="72"/>
  <c r="BL15" i="65" a="1"/>
  <c r="BL15" i="65" s="1"/>
  <c r="BJ14" i="65" s="1"/>
  <c r="BL14" i="65" s="1"/>
  <c r="BN5" i="65" s="1"/>
  <c r="X17" i="72"/>
  <c r="Y17" i="72" s="1"/>
  <c r="AB17" i="72" s="1"/>
  <c r="AC17" i="72" s="1"/>
  <c r="AF17" i="72" s="1"/>
  <c r="AG17" i="72" s="1"/>
  <c r="X15" i="72"/>
  <c r="Y15" i="72" s="1"/>
  <c r="AB15" i="72" s="1"/>
  <c r="AC15" i="72" s="1"/>
  <c r="X16" i="70"/>
  <c r="Y16" i="70" s="1"/>
  <c r="AB16" i="70" s="1"/>
  <c r="AC16" i="70" s="1"/>
  <c r="AF16" i="70" s="1"/>
  <c r="AG16" i="70" s="1"/>
  <c r="X17" i="70"/>
  <c r="Y17" i="70" s="1"/>
  <c r="AB17" i="70" s="1"/>
  <c r="AC17" i="70" s="1"/>
  <c r="AF17" i="70" s="1"/>
  <c r="AG17" i="70" s="1"/>
  <c r="X14" i="70"/>
  <c r="Y14" i="70" s="1"/>
  <c r="AB14" i="70" s="1"/>
  <c r="AC14" i="70" s="1"/>
  <c r="AF14" i="70" s="1"/>
  <c r="AG14" i="70" s="1"/>
  <c r="X15" i="70"/>
  <c r="Y15" i="70" s="1"/>
  <c r="AB15" i="70" s="1"/>
  <c r="AC15" i="70" s="1"/>
  <c r="AF15" i="70" s="1"/>
  <c r="AG15" i="70" s="1"/>
  <c r="BK15" i="70"/>
  <c r="BK16" i="70"/>
  <c r="BK14" i="70"/>
  <c r="BK17" i="70"/>
  <c r="BZ5" i="65"/>
  <c r="BZ6" i="65"/>
  <c r="BZ8" i="65"/>
  <c r="BZ7" i="64"/>
  <c r="BX14" i="69" a="1"/>
  <c r="BX14" i="69" s="1"/>
  <c r="BL15" i="69" a="1"/>
  <c r="BL15" i="69" s="1"/>
  <c r="BJ14" i="69" s="1"/>
  <c r="BL14" i="69" s="1"/>
  <c r="BZ8" i="64"/>
  <c r="BZ5" i="64"/>
  <c r="BN8" i="64"/>
  <c r="BN5" i="64"/>
  <c r="BN6" i="64"/>
  <c r="AF17" i="64"/>
  <c r="AG17" i="64" s="1"/>
  <c r="AF16" i="64"/>
  <c r="AG16" i="64" s="1"/>
  <c r="AF14" i="64"/>
  <c r="AG14" i="64" s="1"/>
  <c r="AI14" i="64" s="1"/>
  <c r="AJ14" i="64" s="1"/>
  <c r="BX14" i="62" a="1"/>
  <c r="BX14" i="62" s="1"/>
  <c r="BL15" i="62" a="1"/>
  <c r="BL15" i="62" s="1"/>
  <c r="BJ14" i="62" s="1"/>
  <c r="BL14" i="62" s="1"/>
  <c r="AF14" i="63"/>
  <c r="AG14" i="63" s="1"/>
  <c r="AF15" i="66"/>
  <c r="AG15" i="66" s="1"/>
  <c r="BZ8" i="66"/>
  <c r="BZ6" i="63"/>
  <c r="BZ5" i="63"/>
  <c r="BZ8" i="63"/>
  <c r="BZ7" i="63"/>
  <c r="BN6" i="63"/>
  <c r="BN7" i="63"/>
  <c r="BN8" i="63"/>
  <c r="BN5" i="63"/>
  <c r="AF14" i="66"/>
  <c r="AG14" i="66" s="1"/>
  <c r="AF15" i="63"/>
  <c r="AG15" i="63" s="1"/>
  <c r="AF16" i="63"/>
  <c r="AG16" i="63" s="1"/>
  <c r="X17" i="61" l="1"/>
  <c r="Y17" i="61" s="1"/>
  <c r="X16" i="61"/>
  <c r="Y16" i="61" s="1"/>
  <c r="AB16" i="61" s="1"/>
  <c r="AC16" i="61" s="1"/>
  <c r="AB14" i="61"/>
  <c r="AC14" i="61" s="1"/>
  <c r="AB17" i="61"/>
  <c r="AC17" i="61" s="1"/>
  <c r="AF17" i="61" s="1"/>
  <c r="AG17" i="61" s="1"/>
  <c r="AI17" i="61" s="1"/>
  <c r="AJ17" i="61" s="1"/>
  <c r="BX14" i="61" a="1"/>
  <c r="BX14" i="61" s="1"/>
  <c r="BZ7" i="61" s="1"/>
  <c r="BN5" i="66"/>
  <c r="BZ6" i="66"/>
  <c r="BN8" i="66"/>
  <c r="BN6" i="61"/>
  <c r="BN7" i="61"/>
  <c r="BN5" i="61"/>
  <c r="BN7" i="66"/>
  <c r="X14" i="67"/>
  <c r="Y14" i="67" s="1"/>
  <c r="AB14" i="67" s="1"/>
  <c r="BZ7" i="66"/>
  <c r="X15" i="67"/>
  <c r="Y15" i="67" s="1"/>
  <c r="AB15" i="67" s="1"/>
  <c r="AC15" i="67" s="1"/>
  <c r="AF15" i="67" s="1"/>
  <c r="AG15" i="67" s="1"/>
  <c r="AI15" i="67" s="1"/>
  <c r="AJ15" i="67" s="1"/>
  <c r="AF14" i="65"/>
  <c r="AG14" i="65" s="1"/>
  <c r="AI14" i="65" s="1"/>
  <c r="AJ14" i="65" s="1"/>
  <c r="BX14" i="67" a="1"/>
  <c r="BX14" i="67" s="1"/>
  <c r="BZ8" i="67" s="1"/>
  <c r="BL15" i="67" a="1"/>
  <c r="BL15" i="67" s="1"/>
  <c r="BJ14" i="67" s="1"/>
  <c r="BL14" i="67" s="1"/>
  <c r="BN8" i="67" s="1"/>
  <c r="X17" i="67"/>
  <c r="Y17" i="67" s="1"/>
  <c r="AB17" i="67" s="1"/>
  <c r="AC17" i="67" s="1"/>
  <c r="AF17" i="67" s="1"/>
  <c r="AG17" i="67" s="1"/>
  <c r="AI17" i="67" s="1"/>
  <c r="AJ17" i="67" s="1"/>
  <c r="X16" i="67"/>
  <c r="Y16" i="67" s="1"/>
  <c r="AB16" i="67" s="1"/>
  <c r="AC16" i="67" s="1"/>
  <c r="AF16" i="67" s="1"/>
  <c r="AG16" i="67" s="1"/>
  <c r="AI16" i="67" s="1"/>
  <c r="AJ16" i="67" s="1"/>
  <c r="BX14" i="71" a="1"/>
  <c r="BX14" i="71" s="1"/>
  <c r="BL15" i="71" a="1"/>
  <c r="BL15" i="71" s="1"/>
  <c r="BJ14" i="71" s="1"/>
  <c r="BL14" i="71" s="1"/>
  <c r="AF17" i="69"/>
  <c r="AG17" i="69" s="1"/>
  <c r="AF16" i="69"/>
  <c r="AG16" i="69" s="1"/>
  <c r="AI17" i="63"/>
  <c r="AJ17" i="63" s="1"/>
  <c r="BL15" i="68" a="1"/>
  <c r="BL15" i="68" s="1"/>
  <c r="BJ14" i="68" s="1"/>
  <c r="BL14" i="68" s="1"/>
  <c r="BX14" i="68" a="1"/>
  <c r="BX14" i="68" s="1"/>
  <c r="BN7" i="65"/>
  <c r="BN6" i="65"/>
  <c r="BL15" i="72" a="1"/>
  <c r="BL15" i="72" s="1"/>
  <c r="BJ14" i="72" s="1"/>
  <c r="BL14" i="72" s="1"/>
  <c r="BX14" i="72" a="1"/>
  <c r="BX14" i="72" s="1"/>
  <c r="BN8" i="65"/>
  <c r="AF15" i="72"/>
  <c r="AG15" i="72" s="1"/>
  <c r="AI15" i="72" s="1"/>
  <c r="AJ15" i="72" s="1"/>
  <c r="AI15" i="69"/>
  <c r="AJ15" i="69" s="1"/>
  <c r="AL15" i="69" s="1"/>
  <c r="AM15" i="69" s="1"/>
  <c r="AI17" i="65"/>
  <c r="AJ17" i="65" s="1"/>
  <c r="AI16" i="65"/>
  <c r="AJ16" i="65" s="1"/>
  <c r="AI15" i="65"/>
  <c r="AJ15" i="65" s="1"/>
  <c r="AI16" i="64"/>
  <c r="AJ16" i="64" s="1"/>
  <c r="AI14" i="71"/>
  <c r="AJ14" i="71" s="1"/>
  <c r="BL15" i="70" a="1"/>
  <c r="BL15" i="70" s="1"/>
  <c r="BJ14" i="70" s="1"/>
  <c r="BL14" i="70" s="1"/>
  <c r="BX14" i="70" a="1"/>
  <c r="BX14" i="70" s="1"/>
  <c r="AI17" i="62"/>
  <c r="AJ17" i="62" s="1"/>
  <c r="AI16" i="62"/>
  <c r="AJ16" i="62" s="1"/>
  <c r="AI15" i="62"/>
  <c r="AJ15" i="62" s="1"/>
  <c r="AL15" i="62" s="1"/>
  <c r="AM15" i="62" s="1"/>
  <c r="BN8" i="69"/>
  <c r="BN5" i="69"/>
  <c r="BN7" i="69"/>
  <c r="BN6" i="69"/>
  <c r="BZ5" i="69"/>
  <c r="BZ6" i="69"/>
  <c r="BZ8" i="69"/>
  <c r="BZ7" i="69"/>
  <c r="AI16" i="71"/>
  <c r="AJ16" i="71" s="1"/>
  <c r="AI15" i="64"/>
  <c r="AJ15" i="64" s="1"/>
  <c r="AL14" i="64" s="1"/>
  <c r="AM14" i="64" s="1"/>
  <c r="AI17" i="64"/>
  <c r="AJ17" i="64" s="1"/>
  <c r="AL17" i="64" s="1"/>
  <c r="AM17" i="64" s="1"/>
  <c r="AI15" i="71"/>
  <c r="AJ15" i="71" s="1"/>
  <c r="AI17" i="71"/>
  <c r="AJ17" i="71" s="1"/>
  <c r="BN7" i="62"/>
  <c r="BN6" i="62"/>
  <c r="BN8" i="62"/>
  <c r="BN5" i="62"/>
  <c r="BZ6" i="62"/>
  <c r="BZ7" i="62"/>
  <c r="BZ5" i="62"/>
  <c r="BZ8" i="62"/>
  <c r="AI16" i="66"/>
  <c r="AJ16" i="66" s="1"/>
  <c r="AI16" i="68"/>
  <c r="AJ16" i="68" s="1"/>
  <c r="AI14" i="70"/>
  <c r="AJ14" i="70" s="1"/>
  <c r="AI17" i="66"/>
  <c r="AJ17" i="66" s="1"/>
  <c r="AI15" i="70"/>
  <c r="AJ15" i="70" s="1"/>
  <c r="AI16" i="70"/>
  <c r="AJ16" i="70" s="1"/>
  <c r="AI15" i="68"/>
  <c r="AJ15" i="68" s="1"/>
  <c r="AI14" i="63"/>
  <c r="AJ14" i="63" s="1"/>
  <c r="AI16" i="63"/>
  <c r="AJ16" i="63" s="1"/>
  <c r="AI17" i="70"/>
  <c r="AJ17" i="70" s="1"/>
  <c r="AI17" i="68"/>
  <c r="AJ17" i="68" s="1"/>
  <c r="AL14" i="62"/>
  <c r="AM14" i="62" s="1"/>
  <c r="AI15" i="66"/>
  <c r="AJ15" i="66" s="1"/>
  <c r="AI14" i="68"/>
  <c r="AJ14" i="68" s="1"/>
  <c r="AI14" i="66"/>
  <c r="AJ14" i="66" s="1"/>
  <c r="AI15" i="63"/>
  <c r="AJ15" i="63" s="1"/>
  <c r="AF16" i="61" l="1"/>
  <c r="AG16" i="61" s="1"/>
  <c r="AI16" i="61" s="1"/>
  <c r="AJ16" i="61" s="1"/>
  <c r="BZ8" i="61"/>
  <c r="BZ6" i="61"/>
  <c r="AF15" i="61"/>
  <c r="AG15" i="61" s="1"/>
  <c r="AI15" i="61" s="1"/>
  <c r="AJ15" i="61" s="1"/>
  <c r="AF14" i="61"/>
  <c r="AG14" i="61" s="1"/>
  <c r="AI14" i="61" s="1"/>
  <c r="AJ14" i="61" s="1"/>
  <c r="AL14" i="61" s="1"/>
  <c r="AM14" i="61" s="1"/>
  <c r="AO14" i="61" s="1"/>
  <c r="AP14" i="61" s="1"/>
  <c r="BZ5" i="61"/>
  <c r="AC14" i="67"/>
  <c r="AF14" i="67" s="1"/>
  <c r="AG14" i="67" s="1"/>
  <c r="AI14" i="67" s="1"/>
  <c r="AJ14" i="67" s="1"/>
  <c r="AL14" i="67" s="1"/>
  <c r="AM14" i="67" s="1"/>
  <c r="AO14" i="67" s="1"/>
  <c r="AP14" i="67" s="1"/>
  <c r="AR14" i="67" s="1"/>
  <c r="AS14" i="67" s="1"/>
  <c r="G14" i="67" s="1"/>
  <c r="F14" i="67" s="1"/>
  <c r="BN7" i="67"/>
  <c r="BN5" i="67"/>
  <c r="BZ7" i="67"/>
  <c r="BZ6" i="67"/>
  <c r="AL14" i="65"/>
  <c r="AM14" i="65" s="1"/>
  <c r="AO14" i="65" s="1"/>
  <c r="AP14" i="65" s="1"/>
  <c r="BZ5" i="67"/>
  <c r="BN6" i="67"/>
  <c r="AL16" i="65"/>
  <c r="AM16" i="65" s="1"/>
  <c r="AO16" i="65" s="1"/>
  <c r="AP16" i="65" s="1"/>
  <c r="AL17" i="65"/>
  <c r="AM17" i="65" s="1"/>
  <c r="AO17" i="65" s="1"/>
  <c r="AP17" i="65" s="1"/>
  <c r="AI14" i="69"/>
  <c r="AJ14" i="69" s="1"/>
  <c r="BN6" i="71"/>
  <c r="BN8" i="71"/>
  <c r="BN5" i="71"/>
  <c r="BN7" i="71"/>
  <c r="BZ8" i="71"/>
  <c r="BZ5" i="71"/>
  <c r="BZ6" i="71"/>
  <c r="BZ7" i="71"/>
  <c r="AI17" i="69"/>
  <c r="AJ17" i="69" s="1"/>
  <c r="AL17" i="69" s="1"/>
  <c r="AM17" i="69" s="1"/>
  <c r="AO17" i="69" s="1"/>
  <c r="AP17" i="69" s="1"/>
  <c r="AI16" i="69"/>
  <c r="AJ16" i="69" s="1"/>
  <c r="AL16" i="69" s="1"/>
  <c r="AM16" i="69" s="1"/>
  <c r="AO16" i="69" s="1"/>
  <c r="AP16" i="69" s="1"/>
  <c r="AL16" i="62"/>
  <c r="AM16" i="62" s="1"/>
  <c r="AL17" i="62"/>
  <c r="AM17" i="62" s="1"/>
  <c r="AI16" i="72"/>
  <c r="AJ16" i="72" s="1"/>
  <c r="AL16" i="72" s="1"/>
  <c r="AM16" i="72" s="1"/>
  <c r="BZ6" i="68"/>
  <c r="BZ5" i="68"/>
  <c r="BZ8" i="68"/>
  <c r="BZ7" i="68"/>
  <c r="BN6" i="68"/>
  <c r="BN7" i="68"/>
  <c r="BN5" i="68"/>
  <c r="BN8" i="68"/>
  <c r="AI14" i="72"/>
  <c r="AJ14" i="72" s="1"/>
  <c r="AI17" i="72"/>
  <c r="AJ17" i="72" s="1"/>
  <c r="AL15" i="67"/>
  <c r="AM15" i="67" s="1"/>
  <c r="AO15" i="67" s="1"/>
  <c r="AP15" i="67" s="1"/>
  <c r="BZ8" i="72"/>
  <c r="BZ7" i="72"/>
  <c r="BZ6" i="72"/>
  <c r="BZ5" i="72"/>
  <c r="BN5" i="72"/>
  <c r="BN8" i="72"/>
  <c r="BN7" i="72"/>
  <c r="BN6" i="72"/>
  <c r="AL15" i="65"/>
  <c r="AM15" i="65" s="1"/>
  <c r="AL16" i="64"/>
  <c r="AM16" i="64" s="1"/>
  <c r="AO16" i="64" s="1"/>
  <c r="AP16" i="64" s="1"/>
  <c r="AL15" i="64"/>
  <c r="AM15" i="64" s="1"/>
  <c r="AL15" i="71"/>
  <c r="AM15" i="71" s="1"/>
  <c r="AO15" i="71" s="1"/>
  <c r="AP15" i="71" s="1"/>
  <c r="AL17" i="71"/>
  <c r="AM17" i="71" s="1"/>
  <c r="AO17" i="71" s="1"/>
  <c r="AP17" i="71" s="1"/>
  <c r="AL15" i="72"/>
  <c r="AM15" i="72" s="1"/>
  <c r="AO15" i="72" s="1"/>
  <c r="AP15" i="72" s="1"/>
  <c r="BZ8" i="70"/>
  <c r="BZ6" i="70"/>
  <c r="BZ7" i="70"/>
  <c r="BZ5" i="70"/>
  <c r="BN5" i="70"/>
  <c r="BN8" i="70"/>
  <c r="BN7" i="70"/>
  <c r="BN6" i="70"/>
  <c r="AL15" i="61"/>
  <c r="AM15" i="61" s="1"/>
  <c r="AO15" i="61" s="1"/>
  <c r="AP15" i="61" s="1"/>
  <c r="AL16" i="61"/>
  <c r="AM16" i="61" s="1"/>
  <c r="AO16" i="61" s="1"/>
  <c r="AP16" i="61" s="1"/>
  <c r="AL16" i="71"/>
  <c r="AM16" i="71" s="1"/>
  <c r="AO16" i="71" s="1"/>
  <c r="AP16" i="71" s="1"/>
  <c r="AL17" i="67"/>
  <c r="AM17" i="67" s="1"/>
  <c r="AO17" i="67" s="1"/>
  <c r="AP17" i="67" s="1"/>
  <c r="AL14" i="71"/>
  <c r="AM14" i="71" s="1"/>
  <c r="AL16" i="67"/>
  <c r="AM16" i="67" s="1"/>
  <c r="AL17" i="61"/>
  <c r="AM17" i="61" s="1"/>
  <c r="AL15" i="66"/>
  <c r="AM15" i="66" s="1"/>
  <c r="AL15" i="68"/>
  <c r="AM15" i="68" s="1"/>
  <c r="AL14" i="68"/>
  <c r="AM14" i="68" s="1"/>
  <c r="AL16" i="68"/>
  <c r="AM16" i="68" s="1"/>
  <c r="AL16" i="66"/>
  <c r="AM16" i="66" s="1"/>
  <c r="AO14" i="62"/>
  <c r="AP14" i="62" s="1"/>
  <c r="AO15" i="62"/>
  <c r="AP15" i="62" s="1"/>
  <c r="AO14" i="64"/>
  <c r="AP14" i="64" s="1"/>
  <c r="AL17" i="68"/>
  <c r="AM17" i="68" s="1"/>
  <c r="AL17" i="70"/>
  <c r="AM17" i="70" s="1"/>
  <c r="AL14" i="70"/>
  <c r="AM14" i="70" s="1"/>
  <c r="AL17" i="66"/>
  <c r="AM17" i="66" s="1"/>
  <c r="AL14" i="63"/>
  <c r="AM14" i="63" s="1"/>
  <c r="AL17" i="63"/>
  <c r="AM17" i="63" s="1"/>
  <c r="AL16" i="63"/>
  <c r="AM16" i="63" s="1"/>
  <c r="AL16" i="70"/>
  <c r="AM16" i="70" s="1"/>
  <c r="AO15" i="69"/>
  <c r="AP15" i="69" s="1"/>
  <c r="AL15" i="63"/>
  <c r="AM15" i="63" s="1"/>
  <c r="AL14" i="66"/>
  <c r="AM14" i="66" s="1"/>
  <c r="AO17" i="64"/>
  <c r="AP17" i="64" s="1"/>
  <c r="AL15" i="70"/>
  <c r="AM15" i="70" s="1"/>
  <c r="AU8" i="65" l="1"/>
  <c r="AV17" i="65" s="1"/>
  <c r="AL14" i="69"/>
  <c r="AM14" i="69" s="1"/>
  <c r="AO14" i="69" s="1"/>
  <c r="AP14" i="69" s="1"/>
  <c r="AR14" i="69" s="1"/>
  <c r="AS14" i="69" s="1"/>
  <c r="G14" i="69" s="1"/>
  <c r="F14" i="69" s="1"/>
  <c r="AU5" i="62"/>
  <c r="AV14" i="62" s="1"/>
  <c r="AU7" i="62"/>
  <c r="AV16" i="62" s="1"/>
  <c r="AO16" i="62"/>
  <c r="AP16" i="62" s="1"/>
  <c r="AO17" i="62"/>
  <c r="AP17" i="62" s="1"/>
  <c r="AR14" i="62" s="1"/>
  <c r="AS14" i="62" s="1"/>
  <c r="G14" i="62" s="1"/>
  <c r="F14" i="62" s="1"/>
  <c r="AU8" i="62"/>
  <c r="AV17" i="62" s="1"/>
  <c r="AU6" i="62"/>
  <c r="AV15" i="62" s="1"/>
  <c r="AU14" i="62" a="1"/>
  <c r="AU14" i="62" s="1"/>
  <c r="E8" i="33" s="1"/>
  <c r="AL17" i="72"/>
  <c r="AM17" i="72" s="1"/>
  <c r="AL14" i="72"/>
  <c r="AM14" i="72" s="1"/>
  <c r="AO14" i="72" s="1"/>
  <c r="AP14" i="72" s="1"/>
  <c r="AR15" i="67"/>
  <c r="AS15" i="67" s="1"/>
  <c r="G15" i="67" s="1"/>
  <c r="F15" i="67" s="1"/>
  <c r="AU14" i="65" a="1"/>
  <c r="AU14" i="65" s="1"/>
  <c r="W8" i="33" s="1"/>
  <c r="AU5" i="65"/>
  <c r="AV14" i="65" s="1"/>
  <c r="AO15" i="65"/>
  <c r="AP15" i="65" s="1"/>
  <c r="AR15" i="65" s="1"/>
  <c r="AS15" i="65" s="1"/>
  <c r="G15" i="65" s="1"/>
  <c r="F15" i="65" s="1"/>
  <c r="AU6" i="65"/>
  <c r="AV15" i="65" s="1"/>
  <c r="AU7" i="65"/>
  <c r="AV16" i="65" s="1"/>
  <c r="AU5" i="64"/>
  <c r="AV14" i="64" s="1"/>
  <c r="AU14" i="64" a="1"/>
  <c r="AU14" i="64" s="1"/>
  <c r="C10" i="16" s="1"/>
  <c r="E10" i="16" s="1"/>
  <c r="AU7" i="64"/>
  <c r="AV16" i="64" s="1"/>
  <c r="AU8" i="64"/>
  <c r="AV17" i="64" s="1"/>
  <c r="AO15" i="64"/>
  <c r="AP15" i="64" s="1"/>
  <c r="AR17" i="64" s="1"/>
  <c r="AS17" i="64" s="1"/>
  <c r="G17" i="64" s="1"/>
  <c r="F17" i="64" s="1"/>
  <c r="AU6" i="64"/>
  <c r="AV15" i="64" s="1"/>
  <c r="AU7" i="67"/>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U7" i="66"/>
  <c r="AV16" i="66" s="1"/>
  <c r="AO16" i="66"/>
  <c r="AP16" i="66" s="1"/>
  <c r="AU6" i="70"/>
  <c r="AV15" i="70" s="1"/>
  <c r="AO15" i="70"/>
  <c r="AP15" i="70" s="1"/>
  <c r="AU5" i="63"/>
  <c r="AV14" i="63" s="1"/>
  <c r="AO14" i="63"/>
  <c r="AP14" i="63" s="1"/>
  <c r="AU14" i="63" a="1"/>
  <c r="AU14" i="63" s="1"/>
  <c r="AU8" i="68"/>
  <c r="AV17" i="68" s="1"/>
  <c r="AO17" i="68"/>
  <c r="AP17" i="68" s="1"/>
  <c r="AU6" i="66"/>
  <c r="AV15" i="66" s="1"/>
  <c r="AO15" i="66"/>
  <c r="AP15" i="66" s="1"/>
  <c r="AU5" i="68"/>
  <c r="AV14" i="68" s="1"/>
  <c r="AO14" i="68"/>
  <c r="AP14" i="68" s="1"/>
  <c r="AU14" i="68" a="1"/>
  <c r="AU14" i="68" s="1"/>
  <c r="AR16" i="64"/>
  <c r="AS16" i="64" s="1"/>
  <c r="G16" i="64" s="1"/>
  <c r="F16" i="64" s="1"/>
  <c r="AR14" i="64"/>
  <c r="AS14" i="64" s="1"/>
  <c r="G14" i="64" s="1"/>
  <c r="F14" i="64" s="1"/>
  <c r="AU6" i="68"/>
  <c r="AV15" i="68" s="1"/>
  <c r="AO15" i="68"/>
  <c r="AP15" i="68" s="1"/>
  <c r="AU6" i="63"/>
  <c r="AV15" i="63" s="1"/>
  <c r="AO15" i="63"/>
  <c r="AP15" i="63" s="1"/>
  <c r="AU8" i="66"/>
  <c r="AV17" i="66" s="1"/>
  <c r="AO17" i="66"/>
  <c r="AP17" i="66" s="1"/>
  <c r="AU5" i="70"/>
  <c r="AV14" i="70" s="1"/>
  <c r="AO14" i="70"/>
  <c r="AP14" i="70" s="1"/>
  <c r="AU14" i="70" a="1"/>
  <c r="AU14" i="70" s="1"/>
  <c r="AU8" i="63"/>
  <c r="AV17" i="63" s="1"/>
  <c r="AO17" i="63"/>
  <c r="AP17" i="63" s="1"/>
  <c r="AU7" i="68"/>
  <c r="AV16" i="68" s="1"/>
  <c r="AO16" i="68"/>
  <c r="AP16" i="68" s="1"/>
  <c r="AR14" i="65"/>
  <c r="AS14" i="65" s="1"/>
  <c r="G14" i="65" s="1"/>
  <c r="F14" i="65" s="1"/>
  <c r="AU5" i="66"/>
  <c r="AV14" i="66" s="1"/>
  <c r="AO14" i="66"/>
  <c r="AP14" i="66" s="1"/>
  <c r="AU14" i="66" a="1"/>
  <c r="AU14" i="66" s="1"/>
  <c r="AU7" i="70"/>
  <c r="AV16" i="70" s="1"/>
  <c r="AO16" i="70"/>
  <c r="AP16" i="70" s="1"/>
  <c r="AO16" i="72"/>
  <c r="AP16" i="72" s="1"/>
  <c r="AR17" i="65"/>
  <c r="AS17" i="65" s="1"/>
  <c r="G17" i="65" s="1"/>
  <c r="F17" i="65" s="1"/>
  <c r="AR17" i="69" l="1"/>
  <c r="AS17" i="69" s="1"/>
  <c r="G17" i="69" s="1"/>
  <c r="F17" i="69" s="1"/>
  <c r="AU8" i="69"/>
  <c r="AV17" i="69" s="1"/>
  <c r="AR16" i="69"/>
  <c r="AS16" i="69" s="1"/>
  <c r="G16" i="69" s="1"/>
  <c r="F16" i="69" s="1"/>
  <c r="AR15" i="69"/>
  <c r="AS15" i="69" s="1"/>
  <c r="G15" i="69" s="1"/>
  <c r="F15" i="69" s="1"/>
  <c r="AU6" i="69"/>
  <c r="AV15" i="69" s="1"/>
  <c r="AU14" i="69" a="1"/>
  <c r="AU14" i="69" s="1"/>
  <c r="C12" i="16" s="1"/>
  <c r="E12" i="16" s="1"/>
  <c r="F12" i="16" s="1"/>
  <c r="AU7" i="69"/>
  <c r="AV16" i="69" s="1"/>
  <c r="AR17" i="62"/>
  <c r="AS17" i="62" s="1"/>
  <c r="G17" i="62" s="1"/>
  <c r="F17" i="62" s="1"/>
  <c r="AU5" i="69"/>
  <c r="AV14" i="69" s="1"/>
  <c r="AR15" i="62"/>
  <c r="AS15" i="62" s="1"/>
  <c r="G15" i="62" s="1"/>
  <c r="F15" i="62" s="1"/>
  <c r="AR16" i="62"/>
  <c r="AS16" i="62" s="1"/>
  <c r="G16" i="62" s="1"/>
  <c r="F16" i="62" s="1"/>
  <c r="C5" i="16"/>
  <c r="E5" i="16" s="1"/>
  <c r="AU14" i="72" a="1"/>
  <c r="AU14" i="72" s="1"/>
  <c r="N8" i="33" s="1"/>
  <c r="AU8" i="72"/>
  <c r="AV17" i="72" s="1"/>
  <c r="AU7" i="72"/>
  <c r="AV16" i="72" s="1"/>
  <c r="AU5" i="72"/>
  <c r="AV14" i="72" s="1"/>
  <c r="AU6" i="72"/>
  <c r="AV15" i="72" s="1"/>
  <c r="AO17" i="72"/>
  <c r="AP17" i="72" s="1"/>
  <c r="AR15" i="72" s="1"/>
  <c r="AS15" i="72" s="1"/>
  <c r="G15" i="72" s="1"/>
  <c r="F15" i="72" s="1"/>
  <c r="C11" i="16"/>
  <c r="E11" i="16" s="1"/>
  <c r="F11" i="16" s="1"/>
  <c r="T8" i="33"/>
  <c r="AR15" i="64"/>
  <c r="AS15" i="64" s="1"/>
  <c r="G15" i="64" s="1"/>
  <c r="F15" i="64" s="1"/>
  <c r="E16" i="64"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E16" i="67"/>
  <c r="AY16" i="67" s="1"/>
  <c r="E15" i="65"/>
  <c r="E15" i="67"/>
  <c r="E14" i="67"/>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68"/>
  <c r="AS17" i="68" s="1"/>
  <c r="G17" i="68" s="1"/>
  <c r="F17" i="68" s="1"/>
  <c r="AR15" i="70"/>
  <c r="AS15" i="70" s="1"/>
  <c r="G15" i="70" s="1"/>
  <c r="F15" i="70" s="1"/>
  <c r="AR17" i="70"/>
  <c r="AS17" i="70" s="1"/>
  <c r="G17" i="70" s="1"/>
  <c r="F17" i="70" s="1"/>
  <c r="AR14" i="72"/>
  <c r="AS14" i="72" s="1"/>
  <c r="G14" i="72" s="1"/>
  <c r="F14"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AR16" i="66"/>
  <c r="AS16" i="66" s="1"/>
  <c r="G16" i="66" s="1"/>
  <c r="F16" i="66" s="1"/>
  <c r="F10" i="16"/>
  <c r="C7" i="16"/>
  <c r="E7" i="16" s="1"/>
  <c r="K8" i="33"/>
  <c r="H8" i="33"/>
  <c r="C6" i="16"/>
  <c r="E6" i="16" s="1"/>
  <c r="E17" i="65"/>
  <c r="AR16" i="70"/>
  <c r="AS16" i="70" s="1"/>
  <c r="G16" i="70" s="1"/>
  <c r="F16" i="70" s="1"/>
  <c r="AR15" i="63"/>
  <c r="AS15" i="63" s="1"/>
  <c r="G15" i="63" s="1"/>
  <c r="F15" i="63" s="1"/>
  <c r="AR16" i="68"/>
  <c r="AS16" i="68" s="1"/>
  <c r="G16" i="68" s="1"/>
  <c r="F16" i="68" s="1"/>
  <c r="C13" i="16"/>
  <c r="E13" i="16" s="1"/>
  <c r="AC8" i="33"/>
  <c r="AR16" i="63"/>
  <c r="AS16" i="63" s="1"/>
  <c r="G16" i="63" s="1"/>
  <c r="F16" i="63" s="1"/>
  <c r="AR15" i="68"/>
  <c r="AS15" i="68" s="1"/>
  <c r="G15" i="68" s="1"/>
  <c r="F15" i="68" s="1"/>
  <c r="AR15" i="66"/>
  <c r="AS15" i="66" s="1"/>
  <c r="G15" i="66" s="1"/>
  <c r="F15" i="66" s="1"/>
  <c r="E17" i="69" l="1"/>
  <c r="AY17" i="69" s="1"/>
  <c r="E16" i="69"/>
  <c r="AY16" i="69" s="1"/>
  <c r="E15" i="69"/>
  <c r="AY15" i="69" s="1"/>
  <c r="E14" i="69"/>
  <c r="D22" i="69" s="1"/>
  <c r="E14" i="62"/>
  <c r="AY22" i="62" s="1"/>
  <c r="E15" i="62"/>
  <c r="E17" i="62"/>
  <c r="AY17" i="62" s="1"/>
  <c r="Z8" i="33"/>
  <c r="E16" i="62"/>
  <c r="AY16" i="62" s="1"/>
  <c r="AR17" i="72"/>
  <c r="AS17" i="72" s="1"/>
  <c r="G17" i="72" s="1"/>
  <c r="F17" i="72" s="1"/>
  <c r="C8" i="16"/>
  <c r="E8" i="16" s="1"/>
  <c r="F8" i="16" s="1"/>
  <c r="AR16" i="72"/>
  <c r="AS16" i="72" s="1"/>
  <c r="G16" i="72" s="1"/>
  <c r="F16" i="72" s="1"/>
  <c r="AY15" i="67"/>
  <c r="AY23" i="67"/>
  <c r="E14" i="64"/>
  <c r="AY22" i="64" s="1"/>
  <c r="E15" i="64"/>
  <c r="AY23" i="64" s="1"/>
  <c r="E17" i="64"/>
  <c r="AY17" i="64" s="1"/>
  <c r="AY24" i="69"/>
  <c r="AY25" i="69"/>
  <c r="E16" i="71"/>
  <c r="AY16" i="71" s="1"/>
  <c r="AY17" i="67"/>
  <c r="AY25" i="67"/>
  <c r="AY14" i="67"/>
  <c r="AY22" i="67"/>
  <c r="AY25" i="62"/>
  <c r="AY25" i="64"/>
  <c r="AY16" i="64"/>
  <c r="AY24" i="64"/>
  <c r="AY24" i="71"/>
  <c r="AY17" i="65"/>
  <c r="AY25" i="65"/>
  <c r="AY15" i="65"/>
  <c r="AY23" i="65"/>
  <c r="E17" i="71"/>
  <c r="E15" i="71"/>
  <c r="E14" i="71"/>
  <c r="AY23" i="62"/>
  <c r="AY24" i="62"/>
  <c r="AY15" i="64"/>
  <c r="E16" i="70"/>
  <c r="E15" i="61"/>
  <c r="E16" i="61"/>
  <c r="E17" i="61"/>
  <c r="E14" i="61"/>
  <c r="AY22" i="61" s="1"/>
  <c r="E14" i="70"/>
  <c r="AY22" i="70" s="1"/>
  <c r="E15" i="70"/>
  <c r="AY15" i="70" s="1"/>
  <c r="E17" i="70"/>
  <c r="E16" i="68"/>
  <c r="E14" i="68"/>
  <c r="AY22" i="68" s="1"/>
  <c r="E15" i="68"/>
  <c r="AY15" i="68" s="1"/>
  <c r="E17" i="68"/>
  <c r="E16" i="66"/>
  <c r="G4" i="16"/>
  <c r="D25" i="67"/>
  <c r="D24" i="67"/>
  <c r="D22" i="67"/>
  <c r="D23" i="67"/>
  <c r="E17" i="63"/>
  <c r="E14" i="66"/>
  <c r="E16" i="63"/>
  <c r="F13" i="16"/>
  <c r="E17" i="66"/>
  <c r="AY17" i="66" s="1"/>
  <c r="F5" i="16"/>
  <c r="F7" i="16"/>
  <c r="E15" i="66"/>
  <c r="AY15" i="66" s="1"/>
  <c r="E15" i="63"/>
  <c r="F14" i="16"/>
  <c r="E14" i="63"/>
  <c r="AY22" i="63" s="1"/>
  <c r="D24" i="65"/>
  <c r="D22" i="65"/>
  <c r="D25" i="65"/>
  <c r="D23" i="65"/>
  <c r="AY14" i="65"/>
  <c r="F6" i="16"/>
  <c r="D23" i="69" l="1"/>
  <c r="E23" i="69" s="1"/>
  <c r="D22" i="62"/>
  <c r="F22" i="62" s="1"/>
  <c r="G14" i="73" s="1"/>
  <c r="D24" i="69"/>
  <c r="E24" i="69" s="1"/>
  <c r="AY15" i="62"/>
  <c r="AY14" i="69"/>
  <c r="BO7" i="69" s="1"/>
  <c r="D25" i="69"/>
  <c r="AY14" i="62"/>
  <c r="BO6" i="62" s="1"/>
  <c r="D24" i="62"/>
  <c r="F24" i="62" s="1"/>
  <c r="D25" i="62"/>
  <c r="E6" i="33" s="1"/>
  <c r="D23" i="62"/>
  <c r="AY14" i="64"/>
  <c r="BA7" i="64" s="1"/>
  <c r="E14" i="72"/>
  <c r="AY22" i="72" s="1"/>
  <c r="E16" i="72"/>
  <c r="AY16" i="72" s="1"/>
  <c r="E15" i="72"/>
  <c r="AY15" i="72" s="1"/>
  <c r="D4" i="16"/>
  <c r="E17" i="72"/>
  <c r="AY17" i="72" s="1"/>
  <c r="BO6" i="67"/>
  <c r="D22" i="64"/>
  <c r="T3" i="33" s="1"/>
  <c r="D25" i="64"/>
  <c r="E25" i="64" s="1"/>
  <c r="D23" i="64"/>
  <c r="G23" i="64" s="1"/>
  <c r="I55" i="73" s="1"/>
  <c r="D24" i="64"/>
  <c r="N24" i="64" s="1"/>
  <c r="AY16" i="66"/>
  <c r="AY24" i="66"/>
  <c r="AY14" i="66"/>
  <c r="AY22" i="66"/>
  <c r="BB5" i="69"/>
  <c r="BB7" i="69"/>
  <c r="BB8" i="69"/>
  <c r="BB6" i="69"/>
  <c r="AY15" i="71"/>
  <c r="AY23" i="71"/>
  <c r="AY16" i="70"/>
  <c r="AY24" i="70"/>
  <c r="AY16" i="63"/>
  <c r="AY24" i="63"/>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24" i="72"/>
  <c r="AY25" i="72"/>
  <c r="AY17" i="71"/>
  <c r="AY25" i="71"/>
  <c r="BB5" i="65"/>
  <c r="BB6" i="65"/>
  <c r="BB8" i="65"/>
  <c r="BB7" i="65"/>
  <c r="AY22" i="71"/>
  <c r="D24" i="71"/>
  <c r="D23" i="71"/>
  <c r="D22" i="71"/>
  <c r="D25" i="71"/>
  <c r="AY14" i="71"/>
  <c r="AY17" i="63"/>
  <c r="AY25" i="63"/>
  <c r="BB6" i="64"/>
  <c r="BB7" i="64"/>
  <c r="AY15" i="63"/>
  <c r="AY23" i="63"/>
  <c r="BB5" i="62"/>
  <c r="BB8" i="62"/>
  <c r="AY23" i="72"/>
  <c r="AY15" i="61"/>
  <c r="AY23" i="61"/>
  <c r="G15" i="16"/>
  <c r="G10" i="16"/>
  <c r="G11" i="16"/>
  <c r="G9" i="16"/>
  <c r="G12" i="16"/>
  <c r="G6" i="16"/>
  <c r="G14" i="16"/>
  <c r="G7" i="16"/>
  <c r="G8" i="16"/>
  <c r="G5" i="16"/>
  <c r="G13" i="16"/>
  <c r="D23" i="61"/>
  <c r="D24" i="61"/>
  <c r="D25" i="61"/>
  <c r="D22" i="61"/>
  <c r="AY14" i="61"/>
  <c r="D22" i="70"/>
  <c r="D24" i="70"/>
  <c r="D23" i="70"/>
  <c r="D25" i="70"/>
  <c r="AY14" i="70"/>
  <c r="G24" i="62"/>
  <c r="C5" i="45"/>
  <c r="E24" i="62"/>
  <c r="BO8" i="69"/>
  <c r="CA5" i="69"/>
  <c r="BA8" i="69"/>
  <c r="D70" i="73"/>
  <c r="G22" i="69"/>
  <c r="I70" i="73" s="1"/>
  <c r="N22" i="69"/>
  <c r="E22" i="69"/>
  <c r="Z3" i="33"/>
  <c r="F22" i="69"/>
  <c r="G70" i="73" s="1"/>
  <c r="D72" i="73"/>
  <c r="D25" i="68"/>
  <c r="D23" i="68"/>
  <c r="D24" i="68"/>
  <c r="D22" i="68"/>
  <c r="AY14" i="68"/>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G22" i="65"/>
  <c r="I62" i="73" s="1"/>
  <c r="F22" i="65"/>
  <c r="G62" i="73" s="1"/>
  <c r="M22" i="65" a="1"/>
  <c r="E22" i="65"/>
  <c r="W3" i="33"/>
  <c r="H21" i="65" a="1"/>
  <c r="D62" i="73"/>
  <c r="N22" i="65"/>
  <c r="D65" i="73"/>
  <c r="W6" i="33"/>
  <c r="N25" i="65"/>
  <c r="E25" i="65"/>
  <c r="G25" i="65"/>
  <c r="I65" i="73" s="1"/>
  <c r="F25" i="65"/>
  <c r="G65" i="73" s="1"/>
  <c r="C11" i="45"/>
  <c r="F24" i="65"/>
  <c r="G24" i="65"/>
  <c r="E24" i="65"/>
  <c r="N24" i="65"/>
  <c r="W5" i="33"/>
  <c r="D64" i="73"/>
  <c r="D24" i="63"/>
  <c r="D22" i="63"/>
  <c r="D25" i="63"/>
  <c r="D23" i="63"/>
  <c r="AY14" i="63"/>
  <c r="D24" i="66"/>
  <c r="D25" i="66"/>
  <c r="D22" i="66"/>
  <c r="D23" i="66"/>
  <c r="Z4" i="33" l="1"/>
  <c r="F23" i="69"/>
  <c r="G71" i="73" s="1"/>
  <c r="D71" i="73"/>
  <c r="G23" i="69"/>
  <c r="I71" i="73" s="1"/>
  <c r="BA6" i="62"/>
  <c r="CA6" i="62"/>
  <c r="G24" i="69"/>
  <c r="D16" i="73"/>
  <c r="BO5" i="62"/>
  <c r="D14" i="73"/>
  <c r="N24" i="69"/>
  <c r="F25" i="62"/>
  <c r="G17" i="73" s="1"/>
  <c r="F17" i="73" s="1"/>
  <c r="BA7" i="62"/>
  <c r="CA8" i="62"/>
  <c r="Z5" i="33"/>
  <c r="N25" i="62"/>
  <c r="M22" i="69" a="1"/>
  <c r="F24" i="69"/>
  <c r="CA7" i="62"/>
  <c r="C12" i="45"/>
  <c r="K12" i="45" s="1"/>
  <c r="H21" i="62" a="1"/>
  <c r="E25" i="62"/>
  <c r="E22" i="62"/>
  <c r="H21" i="69" a="1"/>
  <c r="I21" i="69" s="1"/>
  <c r="K69" i="73" s="1"/>
  <c r="T6" i="33"/>
  <c r="N23" i="69"/>
  <c r="D17" i="73"/>
  <c r="G22" i="62"/>
  <c r="I14" i="73" s="1"/>
  <c r="D22" i="72"/>
  <c r="BA5" i="62"/>
  <c r="N24" i="62"/>
  <c r="BO8" i="62"/>
  <c r="BN14" i="62" s="1" a="1"/>
  <c r="E5" i="33"/>
  <c r="CA5" i="64"/>
  <c r="CA7" i="69"/>
  <c r="BA8" i="62"/>
  <c r="BA14" i="62" s="1" a="1"/>
  <c r="F25" i="69"/>
  <c r="G73" i="73" s="1"/>
  <c r="F23" i="62"/>
  <c r="G15" i="73" s="1"/>
  <c r="BO7" i="62"/>
  <c r="N22" i="62"/>
  <c r="G25" i="62"/>
  <c r="I17" i="73" s="1"/>
  <c r="CA5" i="62"/>
  <c r="E3" i="33"/>
  <c r="G22" i="64"/>
  <c r="I54" i="73" s="1"/>
  <c r="F54" i="73" s="1"/>
  <c r="BA5" i="69"/>
  <c r="BO6" i="69"/>
  <c r="N25" i="69"/>
  <c r="CA6" i="69"/>
  <c r="CB14" i="69" s="1" a="1"/>
  <c r="E25" i="69"/>
  <c r="CA8" i="69"/>
  <c r="G25" i="69"/>
  <c r="I73" i="73" s="1"/>
  <c r="BA7" i="69"/>
  <c r="D73" i="73"/>
  <c r="BA6" i="69"/>
  <c r="Z6" i="33"/>
  <c r="AY14" i="72"/>
  <c r="BO6" i="72" s="1"/>
  <c r="D25" i="72"/>
  <c r="BO5" i="69"/>
  <c r="E22" i="64"/>
  <c r="E4" i="33"/>
  <c r="M22" i="62" a="1"/>
  <c r="M22" i="62" s="1"/>
  <c r="G23" i="62"/>
  <c r="I15" i="73" s="1"/>
  <c r="F15" i="73" s="1"/>
  <c r="D15" i="73"/>
  <c r="E23" i="62"/>
  <c r="N23" i="62"/>
  <c r="H13" i="16"/>
  <c r="BO7" i="64"/>
  <c r="BA5" i="64"/>
  <c r="CA8" i="64"/>
  <c r="CA7" i="64"/>
  <c r="CA6" i="64"/>
  <c r="BO8" i="64"/>
  <c r="BP14" i="64" s="1" a="1"/>
  <c r="BO6" i="64"/>
  <c r="BO5" i="64"/>
  <c r="BA8" i="64"/>
  <c r="BA6" i="64"/>
  <c r="CA6" i="66"/>
  <c r="G25" i="64"/>
  <c r="I57" i="73" s="1"/>
  <c r="H11" i="16"/>
  <c r="D23" i="72"/>
  <c r="G23" i="72" s="1"/>
  <c r="I39" i="73" s="1"/>
  <c r="D24" i="72"/>
  <c r="H8" i="16"/>
  <c r="H10" i="16"/>
  <c r="BB5" i="70"/>
  <c r="D57" i="73"/>
  <c r="F22" i="64"/>
  <c r="G54" i="73" s="1"/>
  <c r="D54" i="73"/>
  <c r="N22" i="64"/>
  <c r="F25" i="64"/>
  <c r="G57" i="73" s="1"/>
  <c r="CA8" i="66"/>
  <c r="G24" i="64"/>
  <c r="G10" i="45" s="1"/>
  <c r="F24" i="64"/>
  <c r="BO6" i="66"/>
  <c r="D56" i="73"/>
  <c r="D55" i="73"/>
  <c r="E23" i="64"/>
  <c r="L23" i="64" s="1"/>
  <c r="M22" i="64" a="1"/>
  <c r="M22" i="64" s="1"/>
  <c r="E24" i="64"/>
  <c r="F23" i="64"/>
  <c r="G55" i="73" s="1"/>
  <c r="F55" i="73" s="1"/>
  <c r="N23" i="64"/>
  <c r="T4" i="33"/>
  <c r="T5" i="33"/>
  <c r="N25" i="64"/>
  <c r="H21" i="64" a="1"/>
  <c r="I21" i="64" s="1"/>
  <c r="K53" i="73" s="1"/>
  <c r="BA7" i="66"/>
  <c r="C10" i="45"/>
  <c r="K10" i="45" s="1"/>
  <c r="BO5" i="66"/>
  <c r="BO7" i="66"/>
  <c r="CA5" i="66"/>
  <c r="BO8" i="66"/>
  <c r="BA8" i="66"/>
  <c r="CA7" i="66"/>
  <c r="BA6" i="66"/>
  <c r="BA5" i="66"/>
  <c r="BB6" i="66"/>
  <c r="BB8" i="66"/>
  <c r="BB7" i="66"/>
  <c r="BB5" i="66"/>
  <c r="H12" i="16"/>
  <c r="AZ22" i="69" a="1"/>
  <c r="BA22" i="69" a="1"/>
  <c r="BC22" i="69" a="1"/>
  <c r="BB22" i="69" a="1"/>
  <c r="CC14" i="67" a="1"/>
  <c r="CC16" i="67" s="1"/>
  <c r="AN96" i="73" s="1"/>
  <c r="BZ14" i="67" a="1"/>
  <c r="BZ16" i="67" s="1"/>
  <c r="AK96" i="73" s="1"/>
  <c r="AP96" i="73" s="1"/>
  <c r="CA14" i="67" a="1"/>
  <c r="CA14" i="67" s="1"/>
  <c r="AL94" i="73" s="1"/>
  <c r="CB14" i="67" a="1"/>
  <c r="CB16" i="67" s="1"/>
  <c r="AM96" i="73" s="1"/>
  <c r="BP14" i="67" a="1"/>
  <c r="BP17" i="67" s="1"/>
  <c r="BQ14" i="67" a="1"/>
  <c r="BQ17" i="67" s="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E25" i="61"/>
  <c r="B6" i="33"/>
  <c r="F25" i="61"/>
  <c r="G9" i="73" s="1"/>
  <c r="N25" i="61"/>
  <c r="D9" i="73"/>
  <c r="G25" i="61"/>
  <c r="I9" i="73" s="1"/>
  <c r="F24" i="61"/>
  <c r="D8" i="73"/>
  <c r="E24" i="61"/>
  <c r="B5" i="33"/>
  <c r="N24" i="61"/>
  <c r="G24" i="61"/>
  <c r="C4" i="45"/>
  <c r="G23" i="61"/>
  <c r="I7" i="73" s="1"/>
  <c r="D7" i="73"/>
  <c r="B4" i="33"/>
  <c r="E23" i="61"/>
  <c r="N23" i="61"/>
  <c r="F23" i="61"/>
  <c r="G7" i="73" s="1"/>
  <c r="F71"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4" i="62"/>
  <c r="E16" i="73"/>
  <c r="F5" i="33"/>
  <c r="D5" i="45"/>
  <c r="BZ14" i="62" a="1"/>
  <c r="CB14" i="62" a="1"/>
  <c r="CA14" i="62" a="1"/>
  <c r="CC14" i="62" a="1"/>
  <c r="K21" i="62"/>
  <c r="M13" i="73" s="1"/>
  <c r="J21" i="62"/>
  <c r="L13" i="73" s="1"/>
  <c r="H21" i="62"/>
  <c r="I21" i="62"/>
  <c r="K13" i="73" s="1"/>
  <c r="BB14" i="62" a="1"/>
  <c r="M23" i="62"/>
  <c r="M24" i="62"/>
  <c r="M25" i="62"/>
  <c r="K5" i="45"/>
  <c r="L5" i="45"/>
  <c r="L25" i="62"/>
  <c r="E17" i="73"/>
  <c r="AV14" i="73" a="1"/>
  <c r="AA3" i="33"/>
  <c r="L22" i="69"/>
  <c r="E70" i="73"/>
  <c r="BP14" i="69" a="1"/>
  <c r="BO14" i="69" a="1"/>
  <c r="BN14" i="69" a="1"/>
  <c r="BQ14" i="69" a="1"/>
  <c r="I72" i="73"/>
  <c r="G12" i="45"/>
  <c r="AV70" i="73" a="1"/>
  <c r="AW70" i="73" a="1"/>
  <c r="F70" i="73"/>
  <c r="AZ14" i="69" a="1"/>
  <c r="F12" i="45"/>
  <c r="G72" i="73"/>
  <c r="M25" i="69"/>
  <c r="M23" i="69"/>
  <c r="M22" i="69"/>
  <c r="M24" i="69"/>
  <c r="D12" i="45"/>
  <c r="E72" i="73"/>
  <c r="L24" i="69"/>
  <c r="AA5" i="33"/>
  <c r="K21" i="69"/>
  <c r="M69" i="73" s="1"/>
  <c r="E71" i="73"/>
  <c r="AA4" i="33"/>
  <c r="L23" i="69"/>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97" i="73"/>
  <c r="G15" i="45"/>
  <c r="I96" i="73"/>
  <c r="E94" i="73"/>
  <c r="L22" i="67"/>
  <c r="AJ3" i="33"/>
  <c r="E97" i="73"/>
  <c r="AJ6" i="33"/>
  <c r="L25" i="67"/>
  <c r="F15" i="45"/>
  <c r="G96" i="73"/>
  <c r="M24" i="64"/>
  <c r="M25" i="64"/>
  <c r="G25" i="66"/>
  <c r="I81" i="73" s="1"/>
  <c r="N25" i="66"/>
  <c r="E25" i="66"/>
  <c r="D81" i="73"/>
  <c r="F25" i="66"/>
  <c r="G81" i="73" s="1"/>
  <c r="AC6" i="33"/>
  <c r="I56" i="73"/>
  <c r="L25" i="65"/>
  <c r="E65" i="73"/>
  <c r="X6" i="3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D39" i="73"/>
  <c r="CC14" i="65" a="1"/>
  <c r="CB14" i="65" a="1"/>
  <c r="CA14" i="65" a="1"/>
  <c r="BZ14" i="65" a="1"/>
  <c r="BA8" i="63"/>
  <c r="BA7" i="63"/>
  <c r="BO7" i="63"/>
  <c r="BA5" i="63"/>
  <c r="BO6" i="63"/>
  <c r="BO8" i="63"/>
  <c r="BO5" i="63"/>
  <c r="CA7" i="63"/>
  <c r="CA8" i="63"/>
  <c r="CA5" i="63"/>
  <c r="BA6" i="63"/>
  <c r="CA6" i="63"/>
  <c r="D11" i="45"/>
  <c r="E64" i="73"/>
  <c r="L24" i="65"/>
  <c r="X5" i="33"/>
  <c r="AV62" i="73" a="1"/>
  <c r="AW62" i="73" a="1"/>
  <c r="N22" i="66"/>
  <c r="D78" i="73"/>
  <c r="H21" i="66" a="1"/>
  <c r="M22" i="66" a="1"/>
  <c r="F22" i="66"/>
  <c r="G78" i="73" s="1"/>
  <c r="AC3" i="33"/>
  <c r="E22" i="66"/>
  <c r="G22" i="66"/>
  <c r="I78" i="73" s="1"/>
  <c r="E22" i="72"/>
  <c r="G22" i="72"/>
  <c r="I38" i="73" s="1"/>
  <c r="D38" i="73"/>
  <c r="H21" i="72" a="1"/>
  <c r="N3" i="33"/>
  <c r="F22" i="72"/>
  <c r="G38" i="73" s="1"/>
  <c r="N22" i="72"/>
  <c r="K21" i="65"/>
  <c r="M61" i="73" s="1"/>
  <c r="I21" i="65"/>
  <c r="K61" i="73" s="1"/>
  <c r="J21" i="65"/>
  <c r="L61" i="73" s="1"/>
  <c r="H21" i="65"/>
  <c r="BQ14" i="64" a="1"/>
  <c r="BN14" i="64" a="1"/>
  <c r="BA5" i="72"/>
  <c r="C8" i="45"/>
  <c r="N24" i="72"/>
  <c r="E24" i="72"/>
  <c r="F24" i="72"/>
  <c r="G24" i="72"/>
  <c r="N5" i="33"/>
  <c r="D40" i="73"/>
  <c r="G11" i="45"/>
  <c r="I64" i="73"/>
  <c r="G25" i="63"/>
  <c r="I25" i="73" s="1"/>
  <c r="F25" i="63"/>
  <c r="G25" i="73" s="1"/>
  <c r="D25" i="73"/>
  <c r="N25" i="63"/>
  <c r="E25" i="63"/>
  <c r="H6" i="33"/>
  <c r="F11" i="45"/>
  <c r="G64" i="73"/>
  <c r="BO14" i="65" a="1"/>
  <c r="BQ14" i="65" a="1"/>
  <c r="BP14" i="65" a="1"/>
  <c r="BN14" i="65" a="1"/>
  <c r="M22" i="65"/>
  <c r="M24" i="65"/>
  <c r="M25" i="65"/>
  <c r="M23" i="65"/>
  <c r="E23" i="63"/>
  <c r="G23" i="63"/>
  <c r="I23" i="73" s="1"/>
  <c r="N23" i="63"/>
  <c r="D23" i="73"/>
  <c r="F23" i="63"/>
  <c r="G23" i="73" s="1"/>
  <c r="H4" i="33"/>
  <c r="D10" i="45"/>
  <c r="L24" i="64"/>
  <c r="E56" i="73"/>
  <c r="E54" i="73"/>
  <c r="U3" i="33"/>
  <c r="G22" i="63"/>
  <c r="I22" i="73" s="1"/>
  <c r="H3" i="33"/>
  <c r="N22" i="63"/>
  <c r="H21" i="63" a="1"/>
  <c r="E22" i="63"/>
  <c r="M22" i="63" a="1"/>
  <c r="D22" i="73"/>
  <c r="F22" i="63"/>
  <c r="G22" i="73" s="1"/>
  <c r="L11" i="45"/>
  <c r="K11" i="45"/>
  <c r="E57" i="73"/>
  <c r="CB14" i="64" a="1"/>
  <c r="CA14" i="64" a="1"/>
  <c r="CC14" i="64" a="1"/>
  <c r="BZ14" i="64" a="1"/>
  <c r="E24" i="63"/>
  <c r="F24" i="63"/>
  <c r="G24" i="63"/>
  <c r="H5" i="33"/>
  <c r="C6" i="45"/>
  <c r="D24" i="73"/>
  <c r="N24" i="63"/>
  <c r="F65" i="73"/>
  <c r="X3" i="33"/>
  <c r="L22" i="65"/>
  <c r="E62" i="73"/>
  <c r="F23" i="72" l="1"/>
  <c r="G39" i="73" s="1"/>
  <c r="H21" i="69"/>
  <c r="BO14" i="64" a="1"/>
  <c r="CA14" i="69" a="1"/>
  <c r="F6" i="33"/>
  <c r="BZ14" i="69" a="1"/>
  <c r="BO14" i="62" a="1"/>
  <c r="CA5" i="72"/>
  <c r="M22" i="72" a="1"/>
  <c r="N4" i="33"/>
  <c r="BP14" i="62" a="1"/>
  <c r="BQ14" i="62" a="1"/>
  <c r="BQ15" i="62" s="1"/>
  <c r="AW14" i="73" a="1"/>
  <c r="CA7" i="72"/>
  <c r="N23" i="72"/>
  <c r="CA8" i="72"/>
  <c r="E23" i="72"/>
  <c r="CA6" i="72"/>
  <c r="BO7" i="72"/>
  <c r="BA6" i="72"/>
  <c r="BO5" i="72"/>
  <c r="L22" i="64"/>
  <c r="BA7" i="72"/>
  <c r="AZ14" i="62" a="1"/>
  <c r="AZ16" i="62" s="1"/>
  <c r="O16" i="73" s="1"/>
  <c r="BA8" i="72"/>
  <c r="BO8" i="72"/>
  <c r="BB14" i="64" a="1"/>
  <c r="L23" i="62"/>
  <c r="BB14" i="69" a="1"/>
  <c r="CC14" i="69" a="1"/>
  <c r="CC15" i="69" s="1"/>
  <c r="AN71" i="73" s="1"/>
  <c r="BC14" i="62" a="1"/>
  <c r="BC16" i="62" s="1"/>
  <c r="R16" i="73" s="1"/>
  <c r="J21" i="69"/>
  <c r="L69" i="73" s="1"/>
  <c r="BC14" i="64" a="1"/>
  <c r="BA14" i="64" a="1"/>
  <c r="AZ14" i="64" a="1"/>
  <c r="BC14" i="69" a="1"/>
  <c r="BC14" i="69" s="1"/>
  <c r="R70" i="73" s="1"/>
  <c r="BA14" i="69" a="1"/>
  <c r="E15" i="73"/>
  <c r="F57" i="73"/>
  <c r="F4" i="33"/>
  <c r="U6" i="33"/>
  <c r="L25" i="64"/>
  <c r="U45" i="33" s="1"/>
  <c r="N44" i="74" s="1"/>
  <c r="U5" i="33"/>
  <c r="U44" i="33" s="1"/>
  <c r="N43" i="74" s="1"/>
  <c r="G56" i="73"/>
  <c r="F10" i="45"/>
  <c r="AV54" i="73" a="1"/>
  <c r="AW54" i="73" a="1"/>
  <c r="BO14" i="66" a="1"/>
  <c r="BO14" i="66" s="1"/>
  <c r="U4" i="33"/>
  <c r="BN14" i="66" a="1"/>
  <c r="BN15" i="66" s="1"/>
  <c r="BP14" i="66" a="1"/>
  <c r="BP17" i="66" s="1"/>
  <c r="E55" i="73"/>
  <c r="BQ14" i="66" a="1"/>
  <c r="BQ17" i="66" s="1"/>
  <c r="CC15" i="67"/>
  <c r="AN95" i="73" s="1"/>
  <c r="M23" i="64"/>
  <c r="B54" i="73" s="1" a="1"/>
  <c r="B54" i="73" s="1"/>
  <c r="CC17" i="67"/>
  <c r="AN97" i="73" s="1"/>
  <c r="H21" i="64"/>
  <c r="J53" i="73" s="1"/>
  <c r="K21" i="64"/>
  <c r="M53" i="73" s="1"/>
  <c r="J21" i="64"/>
  <c r="L53" i="73" s="1"/>
  <c r="BC14" i="66" a="1"/>
  <c r="BC16" i="66" s="1"/>
  <c r="R80" i="73" s="1"/>
  <c r="AZ14" i="66" a="1"/>
  <c r="AZ15" i="66" s="1"/>
  <c r="O79" i="73" s="1"/>
  <c r="BB14" i="66" a="1"/>
  <c r="BB15" i="66" s="1"/>
  <c r="Q79" i="73" s="1"/>
  <c r="BA14" i="66" a="1"/>
  <c r="BA17" i="66" s="1"/>
  <c r="P81" i="73" s="1"/>
  <c r="BQ14" i="67"/>
  <c r="L10" i="45"/>
  <c r="CA14" i="66" a="1"/>
  <c r="CA17" i="66" s="1"/>
  <c r="AL81" i="73" s="1"/>
  <c r="BZ14" i="66" a="1"/>
  <c r="BZ15" i="66" s="1"/>
  <c r="AK79" i="73" s="1"/>
  <c r="AP79" i="73" s="1"/>
  <c r="CB14" i="66" a="1"/>
  <c r="CB16" i="66" s="1"/>
  <c r="AM80" i="73" s="1"/>
  <c r="CC14" i="66" a="1"/>
  <c r="CC17" i="66" s="1"/>
  <c r="AN81" i="73" s="1"/>
  <c r="BA22" i="66" a="1"/>
  <c r="BB22" i="66" a="1"/>
  <c r="AZ22" i="66" a="1"/>
  <c r="BC22" i="66" a="1"/>
  <c r="BB22" i="69"/>
  <c r="BB23" i="69"/>
  <c r="BB24" i="69"/>
  <c r="BB25" i="69"/>
  <c r="BC25" i="69"/>
  <c r="BC24" i="69"/>
  <c r="BC22" i="69"/>
  <c r="BC23" i="69"/>
  <c r="BA22" i="69"/>
  <c r="BA24" i="69"/>
  <c r="BA23" i="69"/>
  <c r="BA25" i="69"/>
  <c r="AZ24" i="69"/>
  <c r="AZ23" i="69"/>
  <c r="AZ25" i="69"/>
  <c r="AZ22" i="69"/>
  <c r="BP16" i="67"/>
  <c r="BP14" i="67"/>
  <c r="BP15" i="67"/>
  <c r="CB17" i="67"/>
  <c r="AM97" i="73" s="1"/>
  <c r="CB14" i="67"/>
  <c r="AM94" i="73" s="1"/>
  <c r="CC14" i="67"/>
  <c r="AN94" i="73" s="1"/>
  <c r="BN14" i="67"/>
  <c r="CA15" i="67"/>
  <c r="AL95" i="73" s="1"/>
  <c r="BZ15" i="67"/>
  <c r="AK95" i="73" s="1"/>
  <c r="AP95" i="73" s="1"/>
  <c r="BZ14" i="67"/>
  <c r="AK94" i="73" s="1"/>
  <c r="AP94" i="73" s="1"/>
  <c r="CA17" i="67"/>
  <c r="AL97" i="73" s="1"/>
  <c r="CA16" i="67"/>
  <c r="AL96" i="73" s="1"/>
  <c r="CB15" i="67"/>
  <c r="AM95" i="73" s="1"/>
  <c r="BZ17" i="67"/>
  <c r="AK97" i="73" s="1"/>
  <c r="AP97" i="73" s="1"/>
  <c r="E11" i="45"/>
  <c r="H11" i="45" s="1"/>
  <c r="BQ15" i="67"/>
  <c r="BQ16"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N12" i="74" s="1"/>
  <c r="E43" i="33"/>
  <c r="BZ17" i="62"/>
  <c r="AK17" i="73" s="1"/>
  <c r="AP17" i="73" s="1"/>
  <c r="BZ14" i="62"/>
  <c r="BZ16" i="62"/>
  <c r="AK16" i="73" s="1"/>
  <c r="BZ15" i="62"/>
  <c r="AK15" i="73" s="1"/>
  <c r="AP15" i="73" s="1"/>
  <c r="E45" i="33"/>
  <c r="M14" i="74" s="1"/>
  <c r="F45" i="33"/>
  <c r="N14" i="74" s="1"/>
  <c r="BA16" i="62"/>
  <c r="P16" i="73" s="1"/>
  <c r="BA17" i="62"/>
  <c r="P17" i="73" s="1"/>
  <c r="BA14" i="62"/>
  <c r="P14" i="73" s="1"/>
  <c r="BA15" i="62"/>
  <c r="P15" i="73" s="1"/>
  <c r="J13" i="73"/>
  <c r="H22" i="62" a="1"/>
  <c r="BO17" i="62"/>
  <c r="BO14" i="62"/>
  <c r="BO15" i="62"/>
  <c r="BO16" i="62"/>
  <c r="AZ15" i="62"/>
  <c r="O15" i="73" s="1"/>
  <c r="BP14" i="62"/>
  <c r="BP15" i="62"/>
  <c r="BP17" i="62"/>
  <c r="BP16" i="62"/>
  <c r="BB15" i="62"/>
  <c r="Q15" i="73" s="1"/>
  <c r="BB16" i="62"/>
  <c r="Q16" i="73" s="1"/>
  <c r="BB14" i="62"/>
  <c r="Q14" i="73" s="1"/>
  <c r="BB17" i="62"/>
  <c r="Q17" i="73" s="1"/>
  <c r="E44" i="33"/>
  <c r="M13" i="74" s="1"/>
  <c r="F44" i="33"/>
  <c r="N13" i="74" s="1"/>
  <c r="E42" i="33"/>
  <c r="F42" i="33"/>
  <c r="N11" i="74" s="1"/>
  <c r="CC16" i="62"/>
  <c r="AN16" i="73" s="1"/>
  <c r="CC17" i="62"/>
  <c r="AN17" i="73" s="1"/>
  <c r="CC14" i="62"/>
  <c r="AN14" i="73" s="1"/>
  <c r="CC15" i="62"/>
  <c r="AN15" i="73" s="1"/>
  <c r="AW15" i="73"/>
  <c r="AW16" i="73"/>
  <c r="AW17" i="73"/>
  <c r="AW14" i="73"/>
  <c r="BN15" i="62"/>
  <c r="BN17" i="62"/>
  <c r="BN14" i="62"/>
  <c r="BN16" i="62"/>
  <c r="CA15" i="62"/>
  <c r="AL15" i="73" s="1"/>
  <c r="CA16" i="62"/>
  <c r="AL16" i="73" s="1"/>
  <c r="CA17" i="62"/>
  <c r="AL17" i="73" s="1"/>
  <c r="CA14" i="62"/>
  <c r="AL14"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AA43" i="33"/>
  <c r="N54" i="74" s="1"/>
  <c r="Z44" i="33"/>
  <c r="M55" i="74" s="1"/>
  <c r="AA44" i="33"/>
  <c r="N55" i="74" s="1"/>
  <c r="BO14" i="69"/>
  <c r="BO15" i="69"/>
  <c r="BO16" i="69"/>
  <c r="BO17" i="69"/>
  <c r="BP14" i="69"/>
  <c r="BP15" i="69"/>
  <c r="BP16" i="69"/>
  <c r="BP17" i="69"/>
  <c r="BA17" i="69"/>
  <c r="P73" i="73" s="1"/>
  <c r="BA14" i="69"/>
  <c r="P70" i="73" s="1"/>
  <c r="BA15" i="69"/>
  <c r="P71" i="73" s="1"/>
  <c r="BA16" i="69"/>
  <c r="P72" i="73" s="1"/>
  <c r="AA45" i="33"/>
  <c r="N56" i="74" s="1"/>
  <c r="Z45" i="33"/>
  <c r="M56" i="74" s="1"/>
  <c r="AZ16" i="69"/>
  <c r="O72" i="73" s="1"/>
  <c r="AZ15" i="69"/>
  <c r="O71" i="73" s="1"/>
  <c r="AZ14" i="69"/>
  <c r="AZ17" i="69"/>
  <c r="O73" i="73" s="1"/>
  <c r="CA17" i="69"/>
  <c r="AL73" i="73" s="1"/>
  <c r="CA16" i="69"/>
  <c r="AL72" i="73" s="1"/>
  <c r="CA14" i="69"/>
  <c r="AL70" i="73" s="1"/>
  <c r="CA15" i="69"/>
  <c r="AL71" i="73" s="1"/>
  <c r="AA42" i="33"/>
  <c r="N53" i="74" s="1"/>
  <c r="Z42" i="33"/>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F23" i="73"/>
  <c r="B62" i="73" a="1"/>
  <c r="B62" i="73" s="1"/>
  <c r="E15" i="45"/>
  <c r="H15" i="45" s="1"/>
  <c r="J93" i="73"/>
  <c r="H22" i="67" a="1"/>
  <c r="AI44" i="33"/>
  <c r="M73" i="74" s="1"/>
  <c r="AJ44" i="33"/>
  <c r="N73" i="74" s="1"/>
  <c r="AJ45" i="33"/>
  <c r="N74" i="74" s="1"/>
  <c r="AI45" i="33"/>
  <c r="M74" i="74" s="1"/>
  <c r="AI43" i="33"/>
  <c r="AJ43" i="33"/>
  <c r="N72" i="74" s="1"/>
  <c r="AW95" i="73"/>
  <c r="AW97" i="73"/>
  <c r="AW96" i="73"/>
  <c r="AW94" i="73"/>
  <c r="AJ42" i="33"/>
  <c r="N71" i="74" s="1"/>
  <c r="AI42" i="33"/>
  <c r="AV94" i="73"/>
  <c r="AV95" i="73"/>
  <c r="AV96" i="73"/>
  <c r="AV97" i="73"/>
  <c r="F39" i="73"/>
  <c r="M24" i="63"/>
  <c r="M22" i="63"/>
  <c r="M23" i="63"/>
  <c r="M25" i="63"/>
  <c r="AW63" i="73"/>
  <c r="AW65" i="73"/>
  <c r="AW62" i="73"/>
  <c r="AW64" i="73"/>
  <c r="I3" i="33"/>
  <c r="E22" i="73"/>
  <c r="L22" i="63"/>
  <c r="BN16" i="65"/>
  <c r="BN17" i="65"/>
  <c r="BN14" i="65"/>
  <c r="BN15" i="65"/>
  <c r="BP15" i="66"/>
  <c r="BP16" i="66"/>
  <c r="I21" i="66"/>
  <c r="K77" i="73" s="1"/>
  <c r="J21" i="66"/>
  <c r="L77" i="73" s="1"/>
  <c r="K21" i="66"/>
  <c r="M77" i="73" s="1"/>
  <c r="H21" i="66"/>
  <c r="AV62" i="73"/>
  <c r="AV63" i="73"/>
  <c r="AV64" i="73"/>
  <c r="AV65" i="73"/>
  <c r="CC16" i="65"/>
  <c r="AN64" i="73" s="1"/>
  <c r="CC14" i="65"/>
  <c r="AN62" i="73" s="1"/>
  <c r="CC17" i="65"/>
  <c r="AN65" i="73" s="1"/>
  <c r="CC15" i="65"/>
  <c r="AN63" i="73" s="1"/>
  <c r="O4" i="33"/>
  <c r="E39" i="73"/>
  <c r="L23" i="72"/>
  <c r="W43" i="33"/>
  <c r="X43" i="33"/>
  <c r="N48" i="74" s="1"/>
  <c r="L25" i="66"/>
  <c r="AD6" i="33"/>
  <c r="E81" i="73"/>
  <c r="CA16" i="64"/>
  <c r="AL56" i="73" s="1"/>
  <c r="CA17" i="64"/>
  <c r="AL57" i="73" s="1"/>
  <c r="CA14" i="64"/>
  <c r="AL54" i="73" s="1"/>
  <c r="CA15" i="64"/>
  <c r="AL55" i="73" s="1"/>
  <c r="BN14" i="66"/>
  <c r="I80" i="73"/>
  <c r="G13" i="45"/>
  <c r="I21" i="63"/>
  <c r="K21" i="73" s="1"/>
  <c r="K21" i="63"/>
  <c r="M21" i="73" s="1"/>
  <c r="J21" i="63"/>
  <c r="L21" i="73" s="1"/>
  <c r="H21" i="63"/>
  <c r="BP14" i="65"/>
  <c r="BP15" i="65"/>
  <c r="BP16" i="65"/>
  <c r="BP17" i="65"/>
  <c r="E25" i="73"/>
  <c r="L25" i="63"/>
  <c r="I6" i="33"/>
  <c r="F38" i="73"/>
  <c r="AW78" i="73" a="1"/>
  <c r="AV78" i="73" a="1"/>
  <c r="AZ14" i="63" a="1"/>
  <c r="BB14" i="63" a="1"/>
  <c r="BA14" i="63" a="1"/>
  <c r="BC14" i="63" a="1"/>
  <c r="F13" i="45"/>
  <c r="G80" i="73"/>
  <c r="F41" i="73"/>
  <c r="BQ17" i="65"/>
  <c r="BQ14" i="65"/>
  <c r="BQ15" i="65"/>
  <c r="BQ16" i="65"/>
  <c r="G8" i="45"/>
  <c r="I40" i="73"/>
  <c r="BA14" i="72" a="1"/>
  <c r="BB14" i="72" a="1"/>
  <c r="AZ14" i="72" a="1"/>
  <c r="BC14" i="72" a="1"/>
  <c r="D13" i="45"/>
  <c r="E80" i="73"/>
  <c r="L24" i="66"/>
  <c r="AD5" i="33"/>
  <c r="W45" i="33"/>
  <c r="M50" i="74" s="1"/>
  <c r="X45" i="33"/>
  <c r="N50" i="74" s="1"/>
  <c r="F6" i="45"/>
  <c r="G24" i="73"/>
  <c r="E24" i="73"/>
  <c r="D6" i="45"/>
  <c r="I5" i="33"/>
  <c r="L24" i="63"/>
  <c r="CB14" i="64"/>
  <c r="AM54" i="73" s="1"/>
  <c r="CB16" i="64"/>
  <c r="AM56" i="73" s="1"/>
  <c r="CB17" i="64"/>
  <c r="AM57" i="73" s="1"/>
  <c r="CB15" i="64"/>
  <c r="AM55" i="73" s="1"/>
  <c r="K6" i="45"/>
  <c r="L6" i="45"/>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BB16" i="66"/>
  <c r="Q80" i="73" s="1"/>
  <c r="CB14" i="63" a="1"/>
  <c r="CA14" i="63" a="1"/>
  <c r="CC14" i="63" a="1"/>
  <c r="BZ14" i="63" a="1"/>
  <c r="BC14" i="64"/>
  <c r="R54" i="73" s="1"/>
  <c r="BC17" i="64"/>
  <c r="R57" i="73" s="1"/>
  <c r="BC16" i="64"/>
  <c r="R56" i="73" s="1"/>
  <c r="BC15" i="64"/>
  <c r="R55" i="73" s="1"/>
  <c r="X42" i="33"/>
  <c r="N47" i="74" s="1"/>
  <c r="W42" i="33"/>
  <c r="L22" i="72"/>
  <c r="E38" i="73"/>
  <c r="O3" i="33"/>
  <c r="BB16" i="65"/>
  <c r="Q64" i="73" s="1"/>
  <c r="BB14" i="65"/>
  <c r="Q62" i="73" s="1"/>
  <c r="BB17" i="65"/>
  <c r="Q65" i="73" s="1"/>
  <c r="BB15" i="65"/>
  <c r="Q63" i="73" s="1"/>
  <c r="AW54" i="73"/>
  <c r="AW55" i="73"/>
  <c r="AW56" i="73"/>
  <c r="AW57" i="73"/>
  <c r="T44" i="33"/>
  <c r="M43" i="74" s="1"/>
  <c r="D8" i="45"/>
  <c r="L24" i="72"/>
  <c r="O5" i="33"/>
  <c r="E40" i="73"/>
  <c r="BQ15" i="64"/>
  <c r="BQ16" i="64"/>
  <c r="BQ17" i="64"/>
  <c r="BQ14" i="64"/>
  <c r="M22" i="72"/>
  <c r="M24" i="72"/>
  <c r="M25" i="72"/>
  <c r="M23" i="72"/>
  <c r="AZ16" i="66"/>
  <c r="O80" i="73" s="1"/>
  <c r="E41" i="73"/>
  <c r="L25" i="72"/>
  <c r="O6" i="33"/>
  <c r="BC15" i="65"/>
  <c r="R63" i="73" s="1"/>
  <c r="BC17" i="65"/>
  <c r="R65" i="73" s="1"/>
  <c r="BC14" i="65"/>
  <c r="R62" i="73" s="1"/>
  <c r="BC16" i="65"/>
  <c r="R64" i="73" s="1"/>
  <c r="BA15" i="64"/>
  <c r="P55" i="73" s="1"/>
  <c r="BA16" i="64"/>
  <c r="P56" i="73" s="1"/>
  <c r="BA17" i="64"/>
  <c r="P57" i="73" s="1"/>
  <c r="BA14" i="64"/>
  <c r="P54" i="73" s="1"/>
  <c r="T42" i="33"/>
  <c r="U42" i="33"/>
  <c r="N41" i="74" s="1"/>
  <c r="CB16" i="65"/>
  <c r="AM64" i="73" s="1"/>
  <c r="CB14" i="65"/>
  <c r="AM62" i="73" s="1"/>
  <c r="CB17" i="65"/>
  <c r="AM65" i="73" s="1"/>
  <c r="CB15" i="65"/>
  <c r="AM63" i="73" s="1"/>
  <c r="G6" i="45"/>
  <c r="I24" i="73"/>
  <c r="BZ16" i="64"/>
  <c r="AK56" i="73" s="1"/>
  <c r="BZ14" i="64"/>
  <c r="BZ17" i="64"/>
  <c r="AK57" i="73" s="1"/>
  <c r="BZ15" i="64"/>
  <c r="AK55" i="73" s="1"/>
  <c r="AP55" i="73" s="1"/>
  <c r="AV55" i="73"/>
  <c r="AV56" i="73"/>
  <c r="AV54" i="73"/>
  <c r="AV57" i="73"/>
  <c r="F22" i="73"/>
  <c r="BP14" i="72" a="1"/>
  <c r="BO14" i="72" a="1"/>
  <c r="BO17" i="64"/>
  <c r="BO14" i="64"/>
  <c r="BO15" i="64"/>
  <c r="BO16" i="64"/>
  <c r="AV38" i="73" a="1"/>
  <c r="AW38" i="73" a="1"/>
  <c r="F78" i="73"/>
  <c r="BC15" i="66"/>
  <c r="R79" i="73" s="1"/>
  <c r="BC17" i="66"/>
  <c r="R81"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Z16" i="64"/>
  <c r="O56" i="73" s="1"/>
  <c r="AZ15" i="64"/>
  <c r="O55" i="73" s="1"/>
  <c r="AZ14" i="64"/>
  <c r="AZ17" i="64"/>
  <c r="O57" i="73" s="1"/>
  <c r="CC15" i="64"/>
  <c r="AN55" i="73" s="1"/>
  <c r="CC17" i="64"/>
  <c r="AN57" i="73" s="1"/>
  <c r="CC14" i="64"/>
  <c r="AN54" i="73" s="1"/>
  <c r="CC16" i="64"/>
  <c r="AN56" i="73" s="1"/>
  <c r="AW22" i="73" a="1"/>
  <c r="AV22" i="73" a="1"/>
  <c r="L8" i="45"/>
  <c r="K8" i="45"/>
  <c r="BP14" i="64"/>
  <c r="BP15" i="64"/>
  <c r="BP16" i="64"/>
  <c r="BP17" i="64"/>
  <c r="M22" i="66"/>
  <c r="M23" i="66"/>
  <c r="M24" i="66"/>
  <c r="M25" i="66"/>
  <c r="BA16" i="66"/>
  <c r="P80" i="73" s="1"/>
  <c r="X44" i="33"/>
  <c r="N49" i="74" s="1"/>
  <c r="W44" i="33"/>
  <c r="M49" i="74" s="1"/>
  <c r="BP14" i="63" a="1"/>
  <c r="BQ14" i="63" a="1"/>
  <c r="BO14" i="63" a="1"/>
  <c r="BN14" i="63" a="1"/>
  <c r="CA17" i="65"/>
  <c r="AL65" i="73" s="1"/>
  <c r="CA15" i="65"/>
  <c r="AL63" i="73" s="1"/>
  <c r="CA14" i="65"/>
  <c r="AL62" i="73" s="1"/>
  <c r="CA16" i="65"/>
  <c r="AL64" i="73" s="1"/>
  <c r="T43" i="33"/>
  <c r="U43" i="33"/>
  <c r="N42" i="74" s="1"/>
  <c r="L13" i="45"/>
  <c r="K13" i="45"/>
  <c r="E79" i="73"/>
  <c r="AD4" i="33"/>
  <c r="L23" i="66"/>
  <c r="AZ15" i="65"/>
  <c r="O63" i="73" s="1"/>
  <c r="AZ14" i="65"/>
  <c r="AZ17" i="65"/>
  <c r="O65" i="73" s="1"/>
  <c r="AZ16" i="65"/>
  <c r="O64" i="73" s="1"/>
  <c r="BB17" i="64"/>
  <c r="Q57" i="73" s="1"/>
  <c r="BB14" i="64"/>
  <c r="Q54" i="73" s="1"/>
  <c r="BB16" i="64"/>
  <c r="Q56" i="73" s="1"/>
  <c r="BB15" i="64"/>
  <c r="Q55" i="73" s="1"/>
  <c r="AZ14" i="62" l="1"/>
  <c r="AZ17" i="62"/>
  <c r="O17" i="73" s="1"/>
  <c r="BC17" i="69"/>
  <c r="R73" i="73" s="1"/>
  <c r="BC15" i="69"/>
  <c r="R71" i="73" s="1"/>
  <c r="BQ14" i="72" a="1"/>
  <c r="BO17" i="66"/>
  <c r="BO16" i="66"/>
  <c r="BO15" i="66"/>
  <c r="BC16" i="69"/>
  <c r="R72" i="73" s="1"/>
  <c r="CC14" i="72" a="1"/>
  <c r="BQ17" i="62"/>
  <c r="BQ14" i="62"/>
  <c r="AC14" i="73" s="1" a="1"/>
  <c r="AC14" i="73" s="1"/>
  <c r="BQ16" i="62"/>
  <c r="BC17" i="62"/>
  <c r="R17" i="73" s="1"/>
  <c r="T17" i="73" s="1"/>
  <c r="BC15" i="62"/>
  <c r="R15" i="73" s="1"/>
  <c r="CA14" i="72" a="1"/>
  <c r="BC14" i="62"/>
  <c r="R14" i="73" s="1"/>
  <c r="BZ14" i="72" a="1"/>
  <c r="T45" i="33"/>
  <c r="M44" i="74" s="1"/>
  <c r="CC17" i="69"/>
  <c r="AN73" i="73" s="1"/>
  <c r="CB14" i="72" a="1"/>
  <c r="BN14" i="72" a="1"/>
  <c r="CC14" i="69"/>
  <c r="AN70" i="73" s="1"/>
  <c r="CC16" i="69"/>
  <c r="AN72" i="73" s="1"/>
  <c r="BB14" i="66"/>
  <c r="Q78" i="73" s="1"/>
  <c r="BN17" i="66"/>
  <c r="BB17" i="66"/>
  <c r="Q81" i="73" s="1"/>
  <c r="BN16" i="66"/>
  <c r="C44" i="33"/>
  <c r="N7" i="74" s="1"/>
  <c r="BP14" i="66"/>
  <c r="BA15" i="66"/>
  <c r="P79" i="73" s="1"/>
  <c r="BA14" i="66"/>
  <c r="P78" i="73" s="1"/>
  <c r="CA14" i="66"/>
  <c r="AL78" i="73" s="1"/>
  <c r="CA15" i="66"/>
  <c r="AL79" i="73" s="1"/>
  <c r="BQ16" i="66"/>
  <c r="BZ16" i="66"/>
  <c r="AK80" i="73" s="1"/>
  <c r="AP80" i="73" s="1"/>
  <c r="BQ15" i="66"/>
  <c r="BZ14" i="66"/>
  <c r="BQ14" i="66"/>
  <c r="BZ17" i="66"/>
  <c r="AK81" i="73" s="1"/>
  <c r="AP81" i="73" s="1"/>
  <c r="CA16" i="66"/>
  <c r="AL80" i="73" s="1"/>
  <c r="CC14" i="66"/>
  <c r="AN78" i="73" s="1"/>
  <c r="CC16" i="66"/>
  <c r="AN80" i="73" s="1"/>
  <c r="CC15" i="66"/>
  <c r="AN79" i="73" s="1"/>
  <c r="H22" i="64" a="1"/>
  <c r="I24" i="64" s="1"/>
  <c r="K56" i="73" s="1"/>
  <c r="N92" i="22"/>
  <c r="J90" i="22" s="1"/>
  <c r="AM50" i="33" s="1"/>
  <c r="E89" i="74" s="1"/>
  <c r="M48" i="74"/>
  <c r="N100" i="22"/>
  <c r="J87" i="22" s="1"/>
  <c r="E115" i="48" s="1"/>
  <c r="M72" i="74"/>
  <c r="N90" i="22"/>
  <c r="J92" i="22" s="1"/>
  <c r="AP50" i="33" s="1"/>
  <c r="M42" i="74"/>
  <c r="N99" i="22"/>
  <c r="I84" i="22" s="1"/>
  <c r="AI50" i="33" s="1"/>
  <c r="M71" i="74"/>
  <c r="N80" i="22"/>
  <c r="J77" i="22" s="1"/>
  <c r="I50" i="33" s="1"/>
  <c r="M12" i="74"/>
  <c r="N79" i="22"/>
  <c r="I89" i="22" s="1"/>
  <c r="AR50" i="33" s="1"/>
  <c r="M11" i="74"/>
  <c r="N91" i="22"/>
  <c r="I88" i="22" s="1"/>
  <c r="Q50" i="33" s="1"/>
  <c r="D87" i="74" s="1"/>
  <c r="M47" i="74"/>
  <c r="N89" i="22"/>
  <c r="I86" i="22" s="1"/>
  <c r="D113" i="48" s="1"/>
  <c r="M41" i="74"/>
  <c r="N94" i="22"/>
  <c r="J82" i="22" s="1"/>
  <c r="M54" i="74"/>
  <c r="N93" i="22"/>
  <c r="I81" i="22" s="1"/>
  <c r="E50" i="33" s="1"/>
  <c r="M53" i="74"/>
  <c r="AZ17" i="66"/>
  <c r="O81" i="73" s="1"/>
  <c r="AZ14" i="66"/>
  <c r="H10" i="45"/>
  <c r="CB15" i="66"/>
  <c r="AM79" i="73" s="1"/>
  <c r="CB17" i="66"/>
  <c r="AM81" i="73" s="1"/>
  <c r="CB14" i="66"/>
  <c r="AM78" i="73" s="1"/>
  <c r="CE13" i="67" a="1"/>
  <c r="CH13" i="67" s="1"/>
  <c r="AT93" i="73" s="1"/>
  <c r="BC22" i="66"/>
  <c r="BC24" i="66"/>
  <c r="BC25" i="66"/>
  <c r="BC23" i="66"/>
  <c r="AZ22" i="66"/>
  <c r="AZ24" i="66"/>
  <c r="AZ25" i="66"/>
  <c r="AZ23" i="66"/>
  <c r="BB22" i="66"/>
  <c r="BB25" i="66"/>
  <c r="BB24" i="66"/>
  <c r="BB23" i="66"/>
  <c r="BA23" i="66"/>
  <c r="BA22" i="66"/>
  <c r="BA24" i="66"/>
  <c r="BA25" i="66"/>
  <c r="BE21" i="69" a="1"/>
  <c r="AK92" i="73"/>
  <c r="BS13" i="67" a="1"/>
  <c r="BT13" i="67" s="1"/>
  <c r="Z92" i="73"/>
  <c r="T95" i="73"/>
  <c r="T94" i="73"/>
  <c r="T96" i="73"/>
  <c r="BE13" i="67" a="1"/>
  <c r="BG13" i="67" s="1"/>
  <c r="W93" i="73" s="1"/>
  <c r="T97" i="73"/>
  <c r="BA22" i="68"/>
  <c r="BE21" i="62" a="1"/>
  <c r="BF21" i="62" s="1"/>
  <c r="BB22" i="68"/>
  <c r="BB22" i="61"/>
  <c r="AZ25" i="68"/>
  <c r="AZ25" i="72"/>
  <c r="BA25" i="68"/>
  <c r="BA23" i="61"/>
  <c r="BA22" i="61"/>
  <c r="T16" i="73"/>
  <c r="BC22" i="68"/>
  <c r="Z94" i="73" a="1"/>
  <c r="Z95" i="73" s="1"/>
  <c r="AE95" i="73" s="1"/>
  <c r="BA24" i="68"/>
  <c r="AA94" i="73" a="1"/>
  <c r="AA95" i="73" s="1"/>
  <c r="AZ24" i="61"/>
  <c r="AZ22" i="6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AB14" i="73" a="1"/>
  <c r="AB15" i="73" s="1"/>
  <c r="AA14" i="73" a="1"/>
  <c r="AA17" i="73" s="1"/>
  <c r="BZ17" i="71"/>
  <c r="AK49" i="73" s="1"/>
  <c r="AP49" i="73" s="1"/>
  <c r="BZ15" i="71"/>
  <c r="AK47" i="73" s="1"/>
  <c r="AP47" i="73" s="1"/>
  <c r="BZ16" i="71"/>
  <c r="AK48" i="73" s="1"/>
  <c r="AP48" i="73" s="1"/>
  <c r="BZ14" i="71"/>
  <c r="F48" i="73"/>
  <c r="BB23" i="71"/>
  <c r="BB25" i="71"/>
  <c r="BB22" i="71"/>
  <c r="BB24" i="71"/>
  <c r="R44" i="33"/>
  <c r="N37" i="74" s="1"/>
  <c r="Q44" i="33"/>
  <c r="M37" i="74" s="1"/>
  <c r="BO14" i="71"/>
  <c r="BO15" i="71"/>
  <c r="BO17" i="71"/>
  <c r="BO16" i="71"/>
  <c r="R45" i="33"/>
  <c r="N38" i="74" s="1"/>
  <c r="Q45" i="33"/>
  <c r="M38" i="74" s="1"/>
  <c r="AZ15" i="71"/>
  <c r="O47" i="73" s="1"/>
  <c r="AZ14" i="71"/>
  <c r="AZ16" i="71"/>
  <c r="O48" i="73" s="1"/>
  <c r="AZ17" i="71"/>
  <c r="O49" i="73" s="1"/>
  <c r="R43" i="33"/>
  <c r="N36" i="74" s="1"/>
  <c r="Q43" i="33"/>
  <c r="BQ17" i="71"/>
  <c r="BQ16" i="71"/>
  <c r="BQ14" i="71"/>
  <c r="BQ15" i="71"/>
  <c r="BC16" i="71"/>
  <c r="R48" i="73" s="1"/>
  <c r="BC14" i="71"/>
  <c r="R46" i="73" s="1"/>
  <c r="BC15" i="71"/>
  <c r="R47" i="73" s="1"/>
  <c r="BC17" i="71"/>
  <c r="R49" i="73" s="1"/>
  <c r="BN15" i="71"/>
  <c r="BN17" i="71"/>
  <c r="BN14" i="71"/>
  <c r="BN16" i="71"/>
  <c r="Q42" i="33"/>
  <c r="R42" i="33"/>
  <c r="N35" i="74" s="1"/>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M7" i="74" s="1"/>
  <c r="CB16" i="61"/>
  <c r="AM8" i="73" s="1"/>
  <c r="CB17" i="61"/>
  <c r="AM9" i="73" s="1"/>
  <c r="CB14" i="61"/>
  <c r="AM6" i="73" s="1"/>
  <c r="CB15" i="61"/>
  <c r="AM7" i="73" s="1"/>
  <c r="AW7" i="73"/>
  <c r="AW6" i="73"/>
  <c r="AW8" i="73"/>
  <c r="AW9" i="73"/>
  <c r="BA14" i="61"/>
  <c r="P6" i="73" s="1"/>
  <c r="BA16" i="61"/>
  <c r="P8" i="73" s="1"/>
  <c r="BA15" i="61"/>
  <c r="P7" i="73" s="1"/>
  <c r="BA17" i="61"/>
  <c r="P9" i="73" s="1"/>
  <c r="B45" i="33"/>
  <c r="M8" i="74" s="1"/>
  <c r="C45" i="33"/>
  <c r="N8" i="74" s="1"/>
  <c r="CC14" i="61"/>
  <c r="AN6" i="73" s="1"/>
  <c r="CC16" i="61"/>
  <c r="AN8" i="73" s="1"/>
  <c r="CC15" i="61"/>
  <c r="AN7" i="73" s="1"/>
  <c r="CC17" i="61"/>
  <c r="AN9" i="73" s="1"/>
  <c r="C42" i="33"/>
  <c r="N5" i="74" s="1"/>
  <c r="B42" i="33"/>
  <c r="B43" i="33"/>
  <c r="C43" i="33"/>
  <c r="N6" i="74" s="1"/>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N26" i="74" s="1"/>
  <c r="K45" i="33"/>
  <c r="M26" i="74" s="1"/>
  <c r="CB14" i="70"/>
  <c r="AM30" i="73" s="1"/>
  <c r="CB15" i="70"/>
  <c r="AM31" i="73" s="1"/>
  <c r="CB16" i="70"/>
  <c r="AM32" i="73" s="1"/>
  <c r="CB17" i="70"/>
  <c r="AM33" i="73" s="1"/>
  <c r="K42" i="33"/>
  <c r="L42" i="33"/>
  <c r="N23" i="74" s="1"/>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M25" i="74" s="1"/>
  <c r="L44" i="33"/>
  <c r="N25" i="74" s="1"/>
  <c r="F32" i="73"/>
  <c r="B65" i="73"/>
  <c r="BO14" i="70"/>
  <c r="BO15" i="70"/>
  <c r="BO16" i="70"/>
  <c r="BO17" i="70"/>
  <c r="E7" i="45"/>
  <c r="H7" i="45" s="1"/>
  <c r="BN17" i="70"/>
  <c r="BN14" i="70"/>
  <c r="BN15" i="70"/>
  <c r="BN16" i="70"/>
  <c r="L43" i="33"/>
  <c r="N24" i="74" s="1"/>
  <c r="K43" i="33"/>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O14" i="73"/>
  <c r="T14" i="73" s="1"/>
  <c r="BE13" i="62" a="1"/>
  <c r="Z12" i="73"/>
  <c r="BS13" i="62" a="1"/>
  <c r="E100" i="48"/>
  <c r="E107"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M67" i="74" s="1"/>
  <c r="AG44" i="33"/>
  <c r="N67" i="74" s="1"/>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M68" i="74" s="1"/>
  <c r="AG45" i="33"/>
  <c r="N68" i="74" s="1"/>
  <c r="AF43" i="33"/>
  <c r="AG43" i="33"/>
  <c r="N66" i="74" s="1"/>
  <c r="AF42" i="33"/>
  <c r="AG42" i="33"/>
  <c r="N65" i="74" s="1"/>
  <c r="CB14" i="68"/>
  <c r="AM86" i="73" s="1"/>
  <c r="CB17" i="68"/>
  <c r="AM89" i="73" s="1"/>
  <c r="CB16" i="68"/>
  <c r="AM88" i="73" s="1"/>
  <c r="CB15" i="68"/>
  <c r="AM87" i="73" s="1"/>
  <c r="BN15" i="68"/>
  <c r="BN16" i="68"/>
  <c r="BN17" i="68"/>
  <c r="BN14" i="68"/>
  <c r="B96" i="73"/>
  <c r="T55" i="73"/>
  <c r="B97" i="73"/>
  <c r="T65" i="73"/>
  <c r="T63" i="73"/>
  <c r="T64" i="73"/>
  <c r="F40" i="73"/>
  <c r="F80" i="73"/>
  <c r="B38" i="73" a="1"/>
  <c r="B39" i="73" s="1"/>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8" i="73"/>
  <c r="AP78" i="73" s="1"/>
  <c r="J21" i="73"/>
  <c r="H22" i="63" a="1"/>
  <c r="BN17" i="63"/>
  <c r="BN16" i="63"/>
  <c r="BN15" i="63"/>
  <c r="BN14" i="63"/>
  <c r="CB16" i="72"/>
  <c r="AM40" i="73" s="1"/>
  <c r="CB14" i="72"/>
  <c r="AM38" i="73" s="1"/>
  <c r="CB17" i="72"/>
  <c r="AM41" i="73" s="1"/>
  <c r="CB15" i="72"/>
  <c r="AM39" i="73" s="1"/>
  <c r="N42" i="33"/>
  <c r="O42" i="33"/>
  <c r="N29" i="74" s="1"/>
  <c r="CC14" i="63"/>
  <c r="AN22" i="73" s="1"/>
  <c r="CC16" i="63"/>
  <c r="AN24" i="73" s="1"/>
  <c r="CC15" i="63"/>
  <c r="AN23" i="73" s="1"/>
  <c r="CC17" i="63"/>
  <c r="AN25" i="73" s="1"/>
  <c r="AV79" i="73"/>
  <c r="AV80" i="73"/>
  <c r="AV78" i="73"/>
  <c r="AV81" i="73"/>
  <c r="Z76" i="73"/>
  <c r="BS13" i="66" a="1"/>
  <c r="J77" i="73"/>
  <c r="H22" i="66" a="1"/>
  <c r="BO14" i="63"/>
  <c r="BO17" i="63"/>
  <c r="BO15" i="63"/>
  <c r="BO16" i="63"/>
  <c r="AB54" i="73" a="1"/>
  <c r="AA54" i="73" a="1"/>
  <c r="CA17" i="72"/>
  <c r="AL41" i="73" s="1"/>
  <c r="CA14" i="72"/>
  <c r="AL38" i="73" s="1"/>
  <c r="CA15" i="72"/>
  <c r="AL39" i="73" s="1"/>
  <c r="CA16" i="72"/>
  <c r="AL40" i="73" s="1"/>
  <c r="CA16" i="63"/>
  <c r="AL24" i="73" s="1"/>
  <c r="CA17" i="63"/>
  <c r="AL25" i="73" s="1"/>
  <c r="CA14" i="63"/>
  <c r="AL22" i="73" s="1"/>
  <c r="CA15" i="63"/>
  <c r="AL23" i="73" s="1"/>
  <c r="BS13" i="64" a="1"/>
  <c r="Z52" i="73"/>
  <c r="Z54" i="73" a="1"/>
  <c r="AA62" i="73" a="1"/>
  <c r="F24" i="73"/>
  <c r="BC16" i="72"/>
  <c r="R40" i="73" s="1"/>
  <c r="BC15" i="72"/>
  <c r="R39" i="73" s="1"/>
  <c r="BC17" i="72"/>
  <c r="R41" i="73" s="1"/>
  <c r="BC14" i="72"/>
  <c r="R38" i="73" s="1"/>
  <c r="AC62" i="73" a="1"/>
  <c r="AW78" i="73"/>
  <c r="AW79" i="73"/>
  <c r="AW80" i="73"/>
  <c r="AW81" i="73"/>
  <c r="AD45" i="33"/>
  <c r="N62" i="74" s="1"/>
  <c r="AC45" i="33"/>
  <c r="M62" i="74" s="1"/>
  <c r="Z60" i="73"/>
  <c r="BS13" i="65" a="1"/>
  <c r="Z62" i="73" a="1"/>
  <c r="BZ15" i="72"/>
  <c r="AK39" i="73" s="1"/>
  <c r="AP39" i="73" s="1"/>
  <c r="BZ16" i="72"/>
  <c r="AK40" i="73" s="1"/>
  <c r="BZ14" i="72"/>
  <c r="BZ17" i="72"/>
  <c r="AK41" i="73" s="1"/>
  <c r="BE13" i="66" a="1"/>
  <c r="O78" i="73"/>
  <c r="T78" i="73" s="1"/>
  <c r="AD42" i="33"/>
  <c r="N59" i="74" s="1"/>
  <c r="AC42" i="33"/>
  <c r="BQ15" i="63"/>
  <c r="BQ16" i="63"/>
  <c r="BQ17" i="63"/>
  <c r="BQ14" i="63"/>
  <c r="CC17" i="72"/>
  <c r="AN41" i="73" s="1"/>
  <c r="CC14" i="72"/>
  <c r="AN38" i="73" s="1"/>
  <c r="CC16" i="72"/>
  <c r="AN40" i="73" s="1"/>
  <c r="CC15" i="72"/>
  <c r="AN39" i="73" s="1"/>
  <c r="O44" i="33"/>
  <c r="N31" i="74" s="1"/>
  <c r="N44" i="33"/>
  <c r="M31" i="74" s="1"/>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B62" i="73" a="1"/>
  <c r="AK52" i="73"/>
  <c r="AK54" i="73"/>
  <c r="AP54" i="73" s="1"/>
  <c r="CE13" i="64" a="1"/>
  <c r="BP17" i="63"/>
  <c r="BP14" i="63"/>
  <c r="BP16" i="63"/>
  <c r="BP15" i="63"/>
  <c r="H43" i="33"/>
  <c r="I43" i="33"/>
  <c r="N18" i="74" s="1"/>
  <c r="BB14" i="72"/>
  <c r="Q38" i="73" s="1"/>
  <c r="BB16" i="72"/>
  <c r="Q40" i="73" s="1"/>
  <c r="BB15" i="72"/>
  <c r="Q39" i="73" s="1"/>
  <c r="BB17" i="72"/>
  <c r="Q41" i="73" s="1"/>
  <c r="BA17" i="63"/>
  <c r="P25" i="73" s="1"/>
  <c r="BA15" i="63"/>
  <c r="P23" i="73" s="1"/>
  <c r="BA16" i="63"/>
  <c r="P24" i="73" s="1"/>
  <c r="BA14" i="63"/>
  <c r="P22" i="73" s="1"/>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E122" i="48"/>
  <c r="BN17" i="72"/>
  <c r="BN16" i="72"/>
  <c r="BN15" i="72"/>
  <c r="BN14" i="72"/>
  <c r="T57" i="73"/>
  <c r="BQ16" i="72"/>
  <c r="BQ15" i="72"/>
  <c r="BQ17" i="72"/>
  <c r="BQ14" i="72"/>
  <c r="T79" i="73"/>
  <c r="AC54" i="73" a="1"/>
  <c r="J37" i="73"/>
  <c r="H22" i="72" a="1"/>
  <c r="BA15" i="72"/>
  <c r="P39" i="73" s="1"/>
  <c r="BA16" i="72"/>
  <c r="P40" i="73" s="1"/>
  <c r="BA14" i="72"/>
  <c r="P38" i="73" s="1"/>
  <c r="BA17" i="72"/>
  <c r="P41" i="73" s="1"/>
  <c r="BB17" i="63"/>
  <c r="Q25" i="73" s="1"/>
  <c r="BB14" i="63"/>
  <c r="Q22" i="73" s="1"/>
  <c r="BB16" i="63"/>
  <c r="Q24" i="73" s="1"/>
  <c r="BB15" i="63"/>
  <c r="Q23" i="73" s="1"/>
  <c r="N43" i="33"/>
  <c r="O43" i="33"/>
  <c r="N30" i="74" s="1"/>
  <c r="H42" i="33"/>
  <c r="I42" i="33"/>
  <c r="N17" i="74" s="1"/>
  <c r="AV38" i="73"/>
  <c r="AV39" i="73"/>
  <c r="AV40" i="73"/>
  <c r="AV41" i="73"/>
  <c r="AV24" i="73"/>
  <c r="AV25" i="73"/>
  <c r="AV22" i="73"/>
  <c r="AV23" i="73"/>
  <c r="AC43" i="33"/>
  <c r="AD43" i="33"/>
  <c r="N60" i="74" s="1"/>
  <c r="B78" i="73" a="1"/>
  <c r="AW22" i="73"/>
  <c r="AW23" i="73"/>
  <c r="AW24" i="73"/>
  <c r="AW25" i="73"/>
  <c r="BE13" i="64" a="1"/>
  <c r="O54" i="73"/>
  <c r="T54" i="73" s="1"/>
  <c r="AW38" i="73"/>
  <c r="AW40" i="73"/>
  <c r="AW41" i="73"/>
  <c r="AW39" i="73"/>
  <c r="BO15" i="72"/>
  <c r="BO16" i="72"/>
  <c r="BO17" i="72"/>
  <c r="BO14" i="72"/>
  <c r="T80" i="73"/>
  <c r="E8" i="45"/>
  <c r="H8" i="45" s="1"/>
  <c r="H44" i="33"/>
  <c r="M19" i="74" s="1"/>
  <c r="I44" i="33"/>
  <c r="N19" i="74" s="1"/>
  <c r="E13" i="45"/>
  <c r="H13" i="45" s="1"/>
  <c r="AZ16" i="63"/>
  <c r="O24" i="73" s="1"/>
  <c r="AZ15" i="63"/>
  <c r="O23" i="73" s="1"/>
  <c r="AZ17" i="63"/>
  <c r="O25" i="73" s="1"/>
  <c r="AZ14" i="63"/>
  <c r="H45" i="33"/>
  <c r="M20" i="74" s="1"/>
  <c r="I45" i="33"/>
  <c r="N20" i="74" s="1"/>
  <c r="B22" i="73" a="1"/>
  <c r="O45" i="33"/>
  <c r="N32" i="74" s="1"/>
  <c r="N45" i="33"/>
  <c r="M32" i="74" s="1"/>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M61" i="74" s="1"/>
  <c r="AD44" i="33"/>
  <c r="N61" i="74" s="1"/>
  <c r="T81" i="73" l="1"/>
  <c r="W50" i="33"/>
  <c r="D85" i="74" s="1"/>
  <c r="O50" i="33"/>
  <c r="E86" i="74" s="1"/>
  <c r="D110" i="48"/>
  <c r="CE13" i="66" a="1"/>
  <c r="AK76" i="73"/>
  <c r="CG13" i="67"/>
  <c r="AS93" i="73" s="1"/>
  <c r="W60" i="33"/>
  <c r="C114" i="28" s="1"/>
  <c r="B114" i="28" s="1"/>
  <c r="D88" i="74"/>
  <c r="E60" i="33"/>
  <c r="D126" i="48" s="1"/>
  <c r="E76" i="74"/>
  <c r="J24" i="64"/>
  <c r="L56" i="73" s="1"/>
  <c r="D80" i="74"/>
  <c r="O60" i="33"/>
  <c r="E128" i="48" s="1"/>
  <c r="E81" i="74"/>
  <c r="R60" i="33"/>
  <c r="E129" i="48" s="1"/>
  <c r="D83" i="74"/>
  <c r="D116" i="48"/>
  <c r="CE13" i="67"/>
  <c r="AQ93" i="73" s="1"/>
  <c r="U60" i="33"/>
  <c r="E113" i="47" s="1"/>
  <c r="D113" i="47" s="1"/>
  <c r="E91" i="74"/>
  <c r="E119" i="48"/>
  <c r="D106" i="48"/>
  <c r="I25" i="64"/>
  <c r="K57" i="73" s="1"/>
  <c r="J22" i="64"/>
  <c r="L54" i="73" s="1"/>
  <c r="CF13" i="67"/>
  <c r="AR93" i="73" s="1"/>
  <c r="J23" i="64"/>
  <c r="L55" i="73" s="1"/>
  <c r="H22" i="64"/>
  <c r="J54" i="73" s="1"/>
  <c r="K22" i="64"/>
  <c r="M54" i="73" s="1"/>
  <c r="H23" i="64"/>
  <c r="J55" i="73" s="1"/>
  <c r="H24" i="64"/>
  <c r="J56" i="73" s="1"/>
  <c r="K24" i="64"/>
  <c r="M56" i="73" s="1"/>
  <c r="H25" i="64"/>
  <c r="J57" i="73" s="1"/>
  <c r="K25" i="64"/>
  <c r="M57" i="73" s="1"/>
  <c r="I23" i="64"/>
  <c r="K55" i="73" s="1"/>
  <c r="J25" i="64"/>
  <c r="L57" i="73" s="1"/>
  <c r="K23" i="64"/>
  <c r="M55" i="73" s="1"/>
  <c r="I22" i="64"/>
  <c r="K54" i="73" s="1"/>
  <c r="D118" i="48"/>
  <c r="N84" i="22"/>
  <c r="I92" i="22" s="1"/>
  <c r="AO50" i="33" s="1"/>
  <c r="D91" i="74" s="1"/>
  <c r="M24" i="74"/>
  <c r="N85" i="22"/>
  <c r="I78" i="22" s="1"/>
  <c r="M29" i="74"/>
  <c r="N81" i="22"/>
  <c r="I80" i="22" s="1"/>
  <c r="Z50" i="33" s="1"/>
  <c r="M17" i="74"/>
  <c r="N77" i="22"/>
  <c r="I83" i="22" s="1"/>
  <c r="AF50" i="33" s="1"/>
  <c r="D82" i="74" s="1"/>
  <c r="M5" i="74"/>
  <c r="N95" i="22"/>
  <c r="I90" i="22" s="1"/>
  <c r="AL50" i="33" s="1"/>
  <c r="M59" i="74"/>
  <c r="N83" i="22"/>
  <c r="I85" i="22" s="1"/>
  <c r="T50" i="33" s="1"/>
  <c r="M23" i="74"/>
  <c r="N96" i="22"/>
  <c r="J88" i="22" s="1"/>
  <c r="E116" i="48" s="1"/>
  <c r="M60" i="74"/>
  <c r="N86" i="22"/>
  <c r="I82" i="22" s="1"/>
  <c r="D107" i="48" s="1"/>
  <c r="M30" i="74"/>
  <c r="N97" i="22"/>
  <c r="I91" i="22" s="1"/>
  <c r="D121" i="48" s="1"/>
  <c r="M65" i="74"/>
  <c r="N88" i="22"/>
  <c r="J80" i="22" s="1"/>
  <c r="AA50" i="33" s="1"/>
  <c r="E79" i="74" s="1"/>
  <c r="M36" i="74"/>
  <c r="N82" i="22"/>
  <c r="J79" i="22" s="1"/>
  <c r="L50" i="33" s="1"/>
  <c r="M18" i="74"/>
  <c r="N98" i="22"/>
  <c r="I87" i="22" s="1"/>
  <c r="N50" i="33" s="1"/>
  <c r="M66" i="74"/>
  <c r="N78" i="22"/>
  <c r="I77" i="22" s="1"/>
  <c r="D100" i="48" s="1"/>
  <c r="M6" i="74"/>
  <c r="N87" i="22"/>
  <c r="I79" i="22" s="1"/>
  <c r="D103" i="48" s="1"/>
  <c r="M35" i="74"/>
  <c r="BS13" i="67"/>
  <c r="BV13" i="67"/>
  <c r="Z78" i="73" a="1"/>
  <c r="Z78" i="73" s="1"/>
  <c r="AE78" i="73" s="1"/>
  <c r="AC78" i="73" a="1"/>
  <c r="AC78" i="73" s="1"/>
  <c r="AA78" i="73" a="1"/>
  <c r="AA80" i="73" s="1"/>
  <c r="BU13" i="67"/>
  <c r="AB78" i="73" a="1"/>
  <c r="AB81" i="73" s="1"/>
  <c r="BE21" i="66" a="1"/>
  <c r="BH13" i="67"/>
  <c r="X93" i="73" s="1"/>
  <c r="BF21" i="69"/>
  <c r="BG21" i="69"/>
  <c r="BH21" i="69"/>
  <c r="BE21" i="69"/>
  <c r="BF13" i="67"/>
  <c r="V93" i="73" s="1"/>
  <c r="BE13" i="67"/>
  <c r="Z97" i="73"/>
  <c r="Z94" i="73"/>
  <c r="AE94" i="73" s="1"/>
  <c r="Z96" i="73"/>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Z14" i="73"/>
  <c r="AE14" i="73" s="1"/>
  <c r="BE21" i="65"/>
  <c r="BF21" i="65"/>
  <c r="BG21" i="65"/>
  <c r="BH21" i="65"/>
  <c r="AP89" i="73"/>
  <c r="Z15" i="73"/>
  <c r="AE15" i="73" s="1"/>
  <c r="AP88" i="73"/>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AA6" i="73" a="1"/>
  <c r="CE13" i="61" a="1"/>
  <c r="AK6" i="73"/>
  <c r="AP6" i="73" s="1"/>
  <c r="AK4" i="73"/>
  <c r="B8" i="73"/>
  <c r="B6" i="73"/>
  <c r="B7" i="73"/>
  <c r="B9" i="73"/>
  <c r="O30" i="73"/>
  <c r="T30" i="73" s="1"/>
  <c r="BE13" i="70" a="1"/>
  <c r="B31" i="73"/>
  <c r="B33" i="73"/>
  <c r="B30" i="73"/>
  <c r="B32" i="73"/>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BG13" i="62"/>
  <c r="W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T86" i="73" s="1"/>
  <c r="AC86" i="73" a="1"/>
  <c r="T89" i="73"/>
  <c r="AA86" i="73" a="1"/>
  <c r="T87" i="7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AB86" i="73" a="1"/>
  <c r="BS13" i="68" a="1"/>
  <c r="Z86" i="73" a="1"/>
  <c r="Z84" i="73"/>
  <c r="B41" i="73"/>
  <c r="T25" i="73"/>
  <c r="AP41" i="73"/>
  <c r="T23" i="73"/>
  <c r="B38" i="73"/>
  <c r="B40" i="73"/>
  <c r="AC38" i="73" a="1"/>
  <c r="AC39" i="73" s="1"/>
  <c r="C101" i="47"/>
  <c r="C101" i="28"/>
  <c r="B101" i="28" s="1"/>
  <c r="E94" i="47"/>
  <c r="AC22" i="73" a="1"/>
  <c r="AC24" i="73" s="1"/>
  <c r="BT13" i="65"/>
  <c r="BU13" i="65"/>
  <c r="BV13" i="65"/>
  <c r="BS13" i="65"/>
  <c r="AB54" i="73"/>
  <c r="AB55" i="73"/>
  <c r="AB56" i="73"/>
  <c r="AB57" i="73"/>
  <c r="T24" i="73"/>
  <c r="AA38" i="73" a="1"/>
  <c r="C97" i="47"/>
  <c r="C97" i="28"/>
  <c r="B97" i="28" s="1"/>
  <c r="B79" i="73"/>
  <c r="B80" i="73"/>
  <c r="B81" i="73"/>
  <c r="B78" i="73"/>
  <c r="AA62" i="73"/>
  <c r="AA63" i="73"/>
  <c r="AA64" i="73"/>
  <c r="AA65" i="73"/>
  <c r="B50" i="33"/>
  <c r="D77" i="74" s="1"/>
  <c r="D101"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BH13" i="66"/>
  <c r="X77" i="73" s="1"/>
  <c r="BG13" i="66"/>
  <c r="W77" i="73" s="1"/>
  <c r="BF13" i="66"/>
  <c r="V77" i="73" s="1"/>
  <c r="BE13" i="66"/>
  <c r="BF13" i="64"/>
  <c r="V53" i="73" s="1"/>
  <c r="BE13" i="64"/>
  <c r="BH13" i="64"/>
  <c r="X53" i="73" s="1"/>
  <c r="BG13" i="64"/>
  <c r="W53" i="73" s="1"/>
  <c r="AK20" i="73"/>
  <c r="CE13" i="63" a="1"/>
  <c r="AK22" i="73"/>
  <c r="AP22" i="73" s="1"/>
  <c r="T40" i="73"/>
  <c r="Z56" i="73"/>
  <c r="Z57" i="73"/>
  <c r="Z55" i="73"/>
  <c r="Z54" i="73"/>
  <c r="AE54" i="73" s="1"/>
  <c r="Z80"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AB22" i="73" a="1"/>
  <c r="T41" i="73"/>
  <c r="CE13" i="72" a="1"/>
  <c r="AK36" i="73"/>
  <c r="AK38" i="73"/>
  <c r="AP38" i="73" s="1"/>
  <c r="AC62" i="73"/>
  <c r="AC63" i="73"/>
  <c r="AC64" i="73"/>
  <c r="AC65" i="73"/>
  <c r="AA22" i="73" a="1"/>
  <c r="AB64" i="73"/>
  <c r="AB65" i="73"/>
  <c r="AB62" i="73"/>
  <c r="AB63" i="73"/>
  <c r="T39" i="73"/>
  <c r="AP40" i="73"/>
  <c r="BS13" i="66"/>
  <c r="BT13" i="66"/>
  <c r="BU13" i="66"/>
  <c r="BV13" i="66"/>
  <c r="CE13" i="66"/>
  <c r="CG13" i="66"/>
  <c r="AS77" i="73" s="1"/>
  <c r="CF13" i="66"/>
  <c r="AR77" i="73" s="1"/>
  <c r="CH13" i="66"/>
  <c r="AT77" i="73" s="1"/>
  <c r="C95" i="28"/>
  <c r="B95" i="28" s="1"/>
  <c r="C95" i="47"/>
  <c r="AC57" i="73"/>
  <c r="AC56" i="73"/>
  <c r="AC54" i="73"/>
  <c r="AC55" i="73"/>
  <c r="D119" i="48"/>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81" i="74" s="1"/>
  <c r="BF13" i="65"/>
  <c r="V61" i="73" s="1"/>
  <c r="BE13" i="65"/>
  <c r="BH13" i="65"/>
  <c r="X61" i="73" s="1"/>
  <c r="BG13" i="65"/>
  <c r="W61" i="73" s="1"/>
  <c r="CH13" i="64"/>
  <c r="AT53" i="73" s="1"/>
  <c r="CE13" i="64"/>
  <c r="CG13" i="64"/>
  <c r="AS53" i="73" s="1"/>
  <c r="CF13" i="64"/>
  <c r="AR53" i="73" s="1"/>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E103" i="48" l="1"/>
  <c r="E94" i="28"/>
  <c r="D94" i="28" s="1"/>
  <c r="C108" i="47"/>
  <c r="B108" i="47" s="1"/>
  <c r="D122" i="48"/>
  <c r="R50" i="33"/>
  <c r="D135" i="48"/>
  <c r="E70" i="33"/>
  <c r="E138" i="48" s="1"/>
  <c r="E112" i="28"/>
  <c r="D112" i="28" s="1"/>
  <c r="C108" i="28"/>
  <c r="B108" i="28" s="1"/>
  <c r="C114" i="47"/>
  <c r="B114" i="47" s="1"/>
  <c r="E134" i="48"/>
  <c r="H50" i="33"/>
  <c r="D76" i="74" s="1"/>
  <c r="E111" i="28"/>
  <c r="D111" i="28" s="1"/>
  <c r="E113" i="28"/>
  <c r="D113" i="28" s="1"/>
  <c r="E112" i="47"/>
  <c r="D112" i="47" s="1"/>
  <c r="CE14" i="67" a="1"/>
  <c r="CF16" i="67" s="1"/>
  <c r="AR96" i="73" s="1"/>
  <c r="O70" i="33"/>
  <c r="D141" i="48" s="1"/>
  <c r="N60" i="33"/>
  <c r="C111" i="28" s="1"/>
  <c r="B111" i="28" s="1"/>
  <c r="D79" i="74"/>
  <c r="E111" i="47"/>
  <c r="D111" i="47" s="1"/>
  <c r="D104" i="48"/>
  <c r="F60" i="33"/>
  <c r="E126" i="48" s="1"/>
  <c r="E78" i="74"/>
  <c r="L78" i="74" s="1"/>
  <c r="E94" i="74" s="1"/>
  <c r="T60" i="33"/>
  <c r="D134" i="48" s="1"/>
  <c r="D89" i="74"/>
  <c r="H60" i="33"/>
  <c r="D131" i="48" s="1"/>
  <c r="D86" i="74"/>
  <c r="K60" i="33"/>
  <c r="D132" i="48" s="1"/>
  <c r="D84" i="74"/>
  <c r="I60" i="33"/>
  <c r="I70" i="33" s="1"/>
  <c r="E87" i="74"/>
  <c r="AU50" i="33"/>
  <c r="D90" i="74" s="1"/>
  <c r="U70" i="33"/>
  <c r="Z79" i="73"/>
  <c r="Z81" i="73"/>
  <c r="AE81" i="73" s="1"/>
  <c r="D109" i="48"/>
  <c r="AC81" i="73"/>
  <c r="AC80" i="73"/>
  <c r="AC79" i="73"/>
  <c r="K50" i="33"/>
  <c r="BS14" i="67" a="1"/>
  <c r="BT16" i="67" s="1"/>
  <c r="AB78" i="73"/>
  <c r="D115" i="48"/>
  <c r="D112" i="48"/>
  <c r="AF93" i="73" a="1"/>
  <c r="AH93" i="73" s="1"/>
  <c r="AB80" i="73"/>
  <c r="AB79" i="73"/>
  <c r="E104" i="48"/>
  <c r="AA79" i="73"/>
  <c r="AA78" i="73"/>
  <c r="AE96" i="73"/>
  <c r="AE97" i="73"/>
  <c r="AA81" i="73"/>
  <c r="BF21" i="66"/>
  <c r="BE21" i="66"/>
  <c r="BG21" i="66"/>
  <c r="BH21" i="66"/>
  <c r="BE22" i="69" a="1"/>
  <c r="BF24" i="69" s="1"/>
  <c r="AE73" i="73"/>
  <c r="AE72" i="73"/>
  <c r="BE14" i="67" a="1"/>
  <c r="BH15" i="67" s="1"/>
  <c r="X95" i="73" s="1"/>
  <c r="U93" i="73"/>
  <c r="AE17" i="73"/>
  <c r="C103" i="28"/>
  <c r="B103" i="28" s="1"/>
  <c r="C103" i="47"/>
  <c r="FJ103" i="47" s="1"/>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CF15" i="67"/>
  <c r="AR95" i="73" s="1"/>
  <c r="CH16" i="67"/>
  <c r="AT96" i="73" s="1"/>
  <c r="CG15" i="67"/>
  <c r="AS95" i="73" s="1"/>
  <c r="CE15" i="67"/>
  <c r="AQ95" i="73" s="1"/>
  <c r="CG17" i="67"/>
  <c r="AS97" i="73" s="1"/>
  <c r="CG16" i="67"/>
  <c r="AS96" i="73" s="1"/>
  <c r="CE17" i="67"/>
  <c r="AQ97" i="73" s="1"/>
  <c r="CG14" i="67"/>
  <c r="AS94" i="73" s="1"/>
  <c r="CH17" i="67"/>
  <c r="AT97" i="73" s="1"/>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CE14" i="67" l="1"/>
  <c r="AQ94" i="73" s="1"/>
  <c r="CE16" i="67"/>
  <c r="AQ96" i="73" s="1"/>
  <c r="CF14" i="67"/>
  <c r="AR94" i="73" s="1"/>
  <c r="CH15" i="67"/>
  <c r="AT95" i="73" s="1"/>
  <c r="CH14" i="67"/>
  <c r="AT94" i="73" s="1"/>
  <c r="C111" i="47"/>
  <c r="B111" i="47" s="1"/>
  <c r="C92" i="47"/>
  <c r="C92" i="28"/>
  <c r="B92" i="28" s="1"/>
  <c r="R80" i="33"/>
  <c r="C122" i="28" s="1"/>
  <c r="B122" i="28" s="1"/>
  <c r="E116" i="28"/>
  <c r="D116" i="28" s="1"/>
  <c r="E116" i="47"/>
  <c r="D116" i="47" s="1"/>
  <c r="D128" i="48"/>
  <c r="E109" i="47"/>
  <c r="D109" i="47" s="1"/>
  <c r="C113" i="28"/>
  <c r="B113" i="28" s="1"/>
  <c r="BU14" i="67"/>
  <c r="BS17" i="67"/>
  <c r="CF17" i="67"/>
  <c r="AR97" i="73" s="1"/>
  <c r="C118" i="47"/>
  <c r="B118" i="47" s="1"/>
  <c r="C118" i="28"/>
  <c r="B118" i="28" s="1"/>
  <c r="C113" i="47"/>
  <c r="B113" i="47" s="1"/>
  <c r="BV14" i="67"/>
  <c r="E108" i="47"/>
  <c r="D108" i="47" s="1"/>
  <c r="C110" i="28"/>
  <c r="B110" i="28" s="1"/>
  <c r="BS14" i="67"/>
  <c r="E131" i="48"/>
  <c r="E108" i="28"/>
  <c r="D108" i="28" s="1"/>
  <c r="E109" i="28"/>
  <c r="D109" i="28" s="1"/>
  <c r="AG93" i="73"/>
  <c r="C109" i="47"/>
  <c r="B109" i="47" s="1"/>
  <c r="C109" i="28"/>
  <c r="B109" i="28" s="1"/>
  <c r="K70" i="33"/>
  <c r="E117" i="28" s="1"/>
  <c r="D117" i="28" s="1"/>
  <c r="C93" i="28"/>
  <c r="B93" i="28" s="1"/>
  <c r="D78" i="74"/>
  <c r="C110" i="47"/>
  <c r="B110" i="47" s="1"/>
  <c r="C93" i="47"/>
  <c r="DW93" i="47" s="1"/>
  <c r="D142" i="48"/>
  <c r="C119" i="47"/>
  <c r="B119" i="47" s="1"/>
  <c r="C119" i="28"/>
  <c r="B119" i="28" s="1"/>
  <c r="C117" i="47"/>
  <c r="B117" i="47" s="1"/>
  <c r="C117" i="28"/>
  <c r="B117" i="28" s="1"/>
  <c r="H80" i="33"/>
  <c r="L98" i="33" s="1"/>
  <c r="D139" i="48"/>
  <c r="AF93" i="73"/>
  <c r="AI93" i="73"/>
  <c r="BU15" i="67"/>
  <c r="BV15" i="67"/>
  <c r="BV16" i="67"/>
  <c r="BU17" i="67"/>
  <c r="BS15" i="67"/>
  <c r="BS16" i="67"/>
  <c r="BT15" i="67"/>
  <c r="BT14" i="67"/>
  <c r="BU16" i="67"/>
  <c r="BT17" i="67"/>
  <c r="BV17" i="67"/>
  <c r="BE22" i="66" a="1"/>
  <c r="BF17" i="67"/>
  <c r="V97" i="73" s="1"/>
  <c r="JJ103" i="47"/>
  <c r="LJ103" i="47"/>
  <c r="BH17" i="67"/>
  <c r="X97" i="73" s="1"/>
  <c r="BH25" i="69"/>
  <c r="BE25" i="69"/>
  <c r="BH24" i="69"/>
  <c r="BH22" i="69"/>
  <c r="BG24" i="69"/>
  <c r="BG25" i="69"/>
  <c r="BH14" i="67"/>
  <c r="X94" i="73" s="1"/>
  <c r="BE22" i="69"/>
  <c r="BG23" i="69"/>
  <c r="BF22" i="69"/>
  <c r="BG22" i="69"/>
  <c r="BE23" i="69"/>
  <c r="BE24" i="69"/>
  <c r="BF23" i="69"/>
  <c r="BF25" i="69"/>
  <c r="BH23" i="69"/>
  <c r="BF16" i="67"/>
  <c r="V96" i="73" s="1"/>
  <c r="BE14" i="67"/>
  <c r="U94" i="73" s="1"/>
  <c r="BE15" i="67"/>
  <c r="U95" i="73" s="1"/>
  <c r="BE17" i="67"/>
  <c r="U97" i="73" s="1"/>
  <c r="BE16" i="67"/>
  <c r="U96" i="73" s="1"/>
  <c r="BG15" i="67"/>
  <c r="W95" i="73" s="1"/>
  <c r="BG17" i="67"/>
  <c r="W97" i="73" s="1"/>
  <c r="BG14" i="67"/>
  <c r="W94" i="73" s="1"/>
  <c r="BH16" i="67"/>
  <c r="X96" i="73" s="1"/>
  <c r="BG16" i="67"/>
  <c r="W96" i="73" s="1"/>
  <c r="BF14" i="67"/>
  <c r="V94" i="73" s="1"/>
  <c r="BF15" i="67"/>
  <c r="V95" i="73" s="1"/>
  <c r="AE49" i="73"/>
  <c r="J103" i="47"/>
  <c r="JW103" i="47"/>
  <c r="GW103" i="47"/>
  <c r="HJ103" i="47"/>
  <c r="CJ103" i="47"/>
  <c r="BJ103" i="47"/>
  <c r="KW103" i="47"/>
  <c r="CW103" i="47"/>
  <c r="EW103" i="47"/>
  <c r="DW103" i="47"/>
  <c r="B103" i="47"/>
  <c r="V103" i="47" s="1"/>
  <c r="IJ103" i="47"/>
  <c r="LW103" i="47"/>
  <c r="GJ103" i="47"/>
  <c r="BW103" i="47"/>
  <c r="W103" i="47"/>
  <c r="DJ103" i="47"/>
  <c r="IW103" i="47"/>
  <c r="AW103" i="47"/>
  <c r="EJ103" i="47"/>
  <c r="KJ103" i="47"/>
  <c r="AJ103" i="47"/>
  <c r="FW103" i="47"/>
  <c r="BE22" i="62"/>
  <c r="BH22" i="62"/>
  <c r="BG24" i="62"/>
  <c r="HW103" i="47"/>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P6" i="74" s="1"/>
  <c r="M17" i="45"/>
  <c r="AL32" i="33"/>
  <c r="P4" i="74" s="1"/>
  <c r="M26" i="45"/>
  <c r="AL41" i="33"/>
  <c r="P13" i="74" s="1"/>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P12" i="74" s="1"/>
  <c r="M27" i="45"/>
  <c r="AL42" i="33"/>
  <c r="P14" i="74" s="1"/>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P8" i="74" s="1"/>
  <c r="M21" i="45"/>
  <c r="AL33" i="33"/>
  <c r="P5" i="74" s="1"/>
  <c r="M18" i="45"/>
  <c r="AL38" i="33"/>
  <c r="P10" i="74" s="1"/>
  <c r="M23" i="45"/>
  <c r="M28" i="45"/>
  <c r="AL43" i="33"/>
  <c r="P15" i="74" s="1"/>
  <c r="M22" i="45"/>
  <c r="AL37" i="33"/>
  <c r="P9" i="74" s="1"/>
  <c r="M20" i="45"/>
  <c r="AL35" i="33"/>
  <c r="P7" i="74" s="1"/>
  <c r="AF5" i="73" a="1"/>
  <c r="BS14" i="61" a="1"/>
  <c r="AL39" i="33"/>
  <c r="P11" i="74" s="1"/>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D147" i="48" l="1"/>
  <c r="C122" i="47"/>
  <c r="B122" i="47" s="1"/>
  <c r="E117" i="47"/>
  <c r="D117" i="47" s="1"/>
  <c r="BJ93" i="47"/>
  <c r="LJ93" i="47"/>
  <c r="AJ93" i="47"/>
  <c r="KW93" i="47"/>
  <c r="J93" i="47"/>
  <c r="BW93" i="47"/>
  <c r="FW93" i="47"/>
  <c r="IJ93" i="47"/>
  <c r="EW93" i="47"/>
  <c r="CW93" i="47"/>
  <c r="HJ93" i="47"/>
  <c r="GJ93" i="47"/>
  <c r="B93" i="47"/>
  <c r="HI93" i="47" s="1"/>
  <c r="LW93" i="47"/>
  <c r="KJ93" i="47"/>
  <c r="AW93" i="47"/>
  <c r="W93" i="47"/>
  <c r="CJ93" i="47"/>
  <c r="HW93" i="47"/>
  <c r="EJ93" i="47"/>
  <c r="IW93" i="47"/>
  <c r="GW93" i="47"/>
  <c r="JW93" i="47"/>
  <c r="JJ93" i="47"/>
  <c r="E139" i="48"/>
  <c r="DJ93" i="47"/>
  <c r="FJ93" i="47"/>
  <c r="E121" i="28"/>
  <c r="D121" i="28" s="1"/>
  <c r="E121" i="47"/>
  <c r="D121" i="47" s="1"/>
  <c r="E145" i="48"/>
  <c r="C126" i="28"/>
  <c r="B126" i="28" s="1"/>
  <c r="D153" i="48"/>
  <c r="C126" i="47"/>
  <c r="AF94" i="73" a="1"/>
  <c r="AG97" i="73" s="1"/>
  <c r="BG25" i="66"/>
  <c r="BH23" i="66"/>
  <c r="BG22" i="66"/>
  <c r="BF25" i="66"/>
  <c r="BH25" i="66"/>
  <c r="BE22" i="66"/>
  <c r="BG23" i="66"/>
  <c r="BG24" i="66"/>
  <c r="BE24" i="66"/>
  <c r="BH22" i="66"/>
  <c r="BF22" i="66"/>
  <c r="BH24" i="66"/>
  <c r="BF24" i="66"/>
  <c r="BF23" i="66"/>
  <c r="BE25" i="66"/>
  <c r="BE23" i="66"/>
  <c r="LV103" i="47"/>
  <c r="MG103" i="47" s="1"/>
  <c r="KI103" i="47"/>
  <c r="KT103" i="47" s="1"/>
  <c r="HI103" i="47"/>
  <c r="HT103" i="47" s="1"/>
  <c r="I103" i="47"/>
  <c r="T103" i="47" s="1"/>
  <c r="EV103" i="47"/>
  <c r="FG103" i="47" s="1"/>
  <c r="KV103" i="47"/>
  <c r="LG103" i="47" s="1"/>
  <c r="BV103" i="47"/>
  <c r="CG103" i="47" s="1"/>
  <c r="AV103" i="47"/>
  <c r="BG103" i="47" s="1"/>
  <c r="LI103" i="47"/>
  <c r="LT103" i="47" s="1"/>
  <c r="JI103" i="47"/>
  <c r="JT103" i="47" s="1"/>
  <c r="AI103" i="47"/>
  <c r="AT103" i="47" s="1"/>
  <c r="GI103" i="47"/>
  <c r="GT103" i="47" s="1"/>
  <c r="DI103" i="47"/>
  <c r="DT103" i="47" s="1"/>
  <c r="EI103" i="47"/>
  <c r="ET103" i="47" s="1"/>
  <c r="II103" i="47"/>
  <c r="IT103" i="47" s="1"/>
  <c r="FV103" i="47"/>
  <c r="GG103" i="47" s="1"/>
  <c r="DV103" i="47"/>
  <c r="EG103" i="47" s="1"/>
  <c r="HV103" i="47"/>
  <c r="IG103" i="47" s="1"/>
  <c r="GV103" i="47"/>
  <c r="HG103" i="47" s="1"/>
  <c r="IV103" i="47"/>
  <c r="JG103" i="47" s="1"/>
  <c r="FI103" i="47"/>
  <c r="FT103" i="47" s="1"/>
  <c r="CV103" i="47"/>
  <c r="DG103" i="47" s="1"/>
  <c r="CI103" i="47"/>
  <c r="CT103" i="47" s="1"/>
  <c r="JV103" i="47"/>
  <c r="KG103" i="47" s="1"/>
  <c r="BI103" i="47"/>
  <c r="BT103" i="47" s="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Q10" i="74" s="1"/>
  <c r="AN38" i="33"/>
  <c r="R10" i="74" s="1"/>
  <c r="AN42" i="33"/>
  <c r="R14" i="74" s="1"/>
  <c r="AM42" i="33"/>
  <c r="Q14" i="74" s="1"/>
  <c r="AN35" i="33"/>
  <c r="R7" i="74" s="1"/>
  <c r="AM35" i="33"/>
  <c r="Q7" i="74" s="1"/>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Q13" i="74" s="1"/>
  <c r="AN41" i="33"/>
  <c r="R13" i="74" s="1"/>
  <c r="AN33" i="33"/>
  <c r="R5" i="74" s="1"/>
  <c r="AM33" i="33"/>
  <c r="Q5" i="74" s="1"/>
  <c r="AN40" i="33"/>
  <c r="R12" i="74" s="1"/>
  <c r="AM40" i="33"/>
  <c r="Q12" i="74" s="1"/>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Q9" i="74" s="1"/>
  <c r="AN37" i="33"/>
  <c r="R9" i="74" s="1"/>
  <c r="AN32" i="33"/>
  <c r="R4" i="74" s="1"/>
  <c r="AM32" i="33"/>
  <c r="Q4" i="74" s="1"/>
  <c r="AM36" i="33"/>
  <c r="Q8" i="74" s="1"/>
  <c r="AN36" i="33"/>
  <c r="R8" i="74" s="1"/>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R15" i="74" s="1"/>
  <c r="AM43" i="33"/>
  <c r="Q15" i="74" s="1"/>
  <c r="AN34" i="33"/>
  <c r="R6" i="74" s="1"/>
  <c r="AM34" i="33"/>
  <c r="Q6" i="74" s="1"/>
  <c r="AM39" i="33"/>
  <c r="Q11" i="74" s="1"/>
  <c r="AN39" i="33"/>
  <c r="R11" i="74" s="1"/>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AF96" i="73"/>
  <c r="AI96" i="73"/>
  <c r="AI95" i="73"/>
  <c r="AF95" i="73"/>
  <c r="AF97" i="73"/>
  <c r="AG95" i="73"/>
  <c r="AG94" i="73"/>
  <c r="AF94" i="73"/>
  <c r="AH96" i="73"/>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T98" i="47" s="1"/>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AI97" i="73" l="1"/>
  <c r="AH94" i="73"/>
  <c r="AI94" i="73"/>
  <c r="AH97" i="73"/>
  <c r="AH95" i="73"/>
  <c r="AG96" i="73"/>
  <c r="IV93" i="47"/>
  <c r="JG93" i="47" s="1"/>
  <c r="EI93" i="47"/>
  <c r="ET93" i="47" s="1"/>
  <c r="EV93" i="47"/>
  <c r="FG93" i="47" s="1"/>
  <c r="V93" i="47"/>
  <c r="AG93" i="47" s="1"/>
  <c r="AV93" i="47"/>
  <c r="BG93" i="47" s="1"/>
  <c r="JV93" i="47"/>
  <c r="KG93" i="47" s="1"/>
  <c r="JI93" i="47"/>
  <c r="JT93" i="47" s="1"/>
  <c r="AI93" i="47"/>
  <c r="AT93" i="47" s="1"/>
  <c r="DV93" i="47"/>
  <c r="EG93" i="47" s="1"/>
  <c r="GI93" i="47"/>
  <c r="GT93" i="47" s="1"/>
  <c r="II93" i="47"/>
  <c r="IT93" i="47" s="1"/>
  <c r="I93" i="47"/>
  <c r="T93" i="47" s="1"/>
  <c r="LV93" i="47"/>
  <c r="MG93" i="47" s="1"/>
  <c r="HV93" i="47"/>
  <c r="IG93" i="47" s="1"/>
  <c r="FI93" i="47"/>
  <c r="FT93" i="47" s="1"/>
  <c r="DI93" i="47"/>
  <c r="DT93" i="47" s="1"/>
  <c r="CV93" i="47"/>
  <c r="DG93" i="47" s="1"/>
  <c r="BI93" i="47"/>
  <c r="BT93" i="47" s="1"/>
  <c r="FV93" i="47"/>
  <c r="GG93" i="47" s="1"/>
  <c r="LI93" i="47"/>
  <c r="LT93" i="47" s="1"/>
  <c r="KI93" i="47"/>
  <c r="KT93" i="47" s="1"/>
  <c r="GV93" i="47"/>
  <c r="HG93" i="47" s="1"/>
  <c r="CI93" i="47"/>
  <c r="CT93" i="47" s="1"/>
  <c r="KV93" i="47"/>
  <c r="LG93" i="47" s="1"/>
  <c r="BV93" i="47"/>
  <c r="CG93" i="47" s="1"/>
  <c r="B126" i="47"/>
  <c r="KT98" i="47"/>
  <c r="HT93" i="47"/>
  <c r="AG98" i="47"/>
  <c r="CT98" i="47"/>
  <c r="T98" i="47"/>
  <c r="LG98" i="47"/>
  <c r="MG98" i="47"/>
  <c r="JT98" i="47"/>
  <c r="DG98" i="47"/>
  <c r="IG98" i="47"/>
  <c r="BG98" i="47"/>
  <c r="AI17" i="73"/>
  <c r="AG17" i="73"/>
  <c r="CG98" i="47"/>
  <c r="HG98" i="47"/>
  <c r="AI14" i="73"/>
  <c r="AF16" i="73"/>
  <c r="AI16" i="73"/>
  <c r="AH14" i="73"/>
  <c r="AH15" i="73"/>
  <c r="AG14" i="73"/>
  <c r="BT98" i="47"/>
  <c r="FT98" i="47"/>
  <c r="AF17" i="73"/>
  <c r="AH17" i="73"/>
  <c r="AG16" i="73"/>
  <c r="AG15" i="73"/>
  <c r="AI15" i="73"/>
  <c r="AF14" i="73"/>
  <c r="AF15" i="73"/>
  <c r="EG98" i="47"/>
  <c r="HT98" i="47"/>
  <c r="JG98" i="47"/>
  <c r="GG98" i="47"/>
  <c r="ET98" i="47"/>
  <c r="FG98" i="47"/>
  <c r="KG98" i="47"/>
  <c r="AF46" i="73" a="1"/>
  <c r="AH46" i="73" s="1"/>
  <c r="IT98" i="47"/>
  <c r="GT98" i="47"/>
  <c r="LT98" i="47"/>
  <c r="AT98" i="47"/>
  <c r="I30" i="45"/>
  <c r="P17" i="74" s="1"/>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L45" i="33" l="1"/>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O71" i="22"/>
  <c r="N71" i="22" s="1"/>
  <c r="L71" i="22" s="1"/>
  <c r="N103" i="22" s="1"/>
  <c r="J85" i="22" s="1"/>
  <c r="O75" i="22"/>
  <c r="N75" i="22" s="1"/>
  <c r="L75" i="22" s="1"/>
  <c r="N107" i="22" s="1"/>
  <c r="J91" i="22" s="1"/>
  <c r="O70" i="22"/>
  <c r="N70" i="22" s="1"/>
  <c r="L70" i="22" s="1"/>
  <c r="N102" i="22" s="1"/>
  <c r="J89" i="22" s="1"/>
  <c r="O74" i="22"/>
  <c r="N74" i="22" s="1"/>
  <c r="L74" i="22" s="1"/>
  <c r="N106" i="22" s="1"/>
  <c r="J81" i="22" s="1"/>
  <c r="O76" i="22"/>
  <c r="N76" i="22" s="1"/>
  <c r="L76" i="22" s="1"/>
  <c r="N108" i="22" s="1"/>
  <c r="J84" i="22" s="1"/>
  <c r="O69" i="22"/>
  <c r="N69" i="22" s="1"/>
  <c r="L69" i="22" s="1"/>
  <c r="N101" i="22" s="1"/>
  <c r="J83" i="22" s="1"/>
  <c r="O73" i="22"/>
  <c r="N73" i="22" s="1"/>
  <c r="L73" i="22" s="1"/>
  <c r="N105" i="22" s="1"/>
  <c r="J86" i="22" s="1"/>
  <c r="O72" i="22"/>
  <c r="N72" i="22" s="1"/>
  <c r="L72" i="22" s="1"/>
  <c r="N104" i="22" s="1"/>
  <c r="J78" i="22"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13" i="48" l="1"/>
  <c r="X50" i="33"/>
  <c r="E109" i="48"/>
  <c r="AG50" i="33"/>
  <c r="AJ50" i="33"/>
  <c r="E83" i="74" s="1"/>
  <c r="E110" i="48"/>
  <c r="F50" i="33"/>
  <c r="E106" i="48"/>
  <c r="AS50" i="33"/>
  <c r="E88" i="74" s="1"/>
  <c r="E118" i="48"/>
  <c r="E121" i="48"/>
  <c r="AV50" i="33"/>
  <c r="U50" i="33"/>
  <c r="E84" i="74" s="1"/>
  <c r="E112" i="48"/>
  <c r="E101" i="48"/>
  <c r="C50" i="33"/>
  <c r="E80" i="74" l="1"/>
  <c r="C60" i="33"/>
  <c r="X60" i="33"/>
  <c r="E135" i="48" s="1"/>
  <c r="E90" i="74"/>
  <c r="B60" i="33"/>
  <c r="C107" i="28" s="1"/>
  <c r="B107" i="28" s="1"/>
  <c r="E77" i="74"/>
  <c r="Q60" i="33"/>
  <c r="Q70" i="33" s="1"/>
  <c r="E82" i="74"/>
  <c r="L60" i="33"/>
  <c r="E132" i="48" s="1"/>
  <c r="E85" i="74"/>
  <c r="E114" i="28"/>
  <c r="D114" i="28" s="1"/>
  <c r="E114" i="47"/>
  <c r="D114" i="47" s="1"/>
  <c r="E90" i="47"/>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W70" i="33" l="1"/>
  <c r="T80" i="33" s="1"/>
  <c r="N98" i="33" s="1"/>
  <c r="E107" i="28"/>
  <c r="D107" i="28" s="1"/>
  <c r="E125" i="48"/>
  <c r="C70" i="33"/>
  <c r="E107" i="47"/>
  <c r="D107" i="47" s="1"/>
  <c r="D125" i="48"/>
  <c r="C107" i="47"/>
  <c r="E110" i="28"/>
  <c r="D110" i="28" s="1"/>
  <c r="C112" i="28"/>
  <c r="B112" i="28" s="1"/>
  <c r="E110" i="47"/>
  <c r="D110" i="47" s="1"/>
  <c r="D129" i="48"/>
  <c r="C112" i="47"/>
  <c r="B112" i="47" s="1"/>
  <c r="N88" i="33"/>
  <c r="E141" i="48"/>
  <c r="E118" i="47"/>
  <c r="E118" i="28"/>
  <c r="D118" i="28" s="1"/>
  <c r="LL100" i="47"/>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EF138" i="47" l="1"/>
  <c r="E119" i="28"/>
  <c r="D119" i="28" s="1"/>
  <c r="E142" i="48"/>
  <c r="E119" i="47"/>
  <c r="D119" i="47" s="1"/>
  <c r="E147" i="48"/>
  <c r="E122" i="47"/>
  <c r="E122" i="28"/>
  <c r="D122" i="28" s="1"/>
  <c r="BT107" i="47"/>
  <c r="CT113" i="47"/>
  <c r="BT109" i="47"/>
  <c r="T113" i="47"/>
  <c r="KG110" i="47"/>
  <c r="IT111" i="47"/>
  <c r="BG114" i="47"/>
  <c r="EG108" i="47"/>
  <c r="IT114" i="47"/>
  <c r="HT112" i="47"/>
  <c r="JG111" i="47"/>
  <c r="AT109" i="47"/>
  <c r="EE135" i="47"/>
  <c r="JG113" i="47"/>
  <c r="AG113" i="47"/>
  <c r="LG110" i="47"/>
  <c r="GT114" i="47"/>
  <c r="DG109" i="47"/>
  <c r="FG113" i="47"/>
  <c r="HS135" i="47"/>
  <c r="HG108" i="47"/>
  <c r="LG113" i="47"/>
  <c r="JT112" i="47"/>
  <c r="JT107" i="47"/>
  <c r="ET108" i="47"/>
  <c r="LT114" i="47"/>
  <c r="KG108" i="47"/>
  <c r="EF134" i="47"/>
  <c r="AT112" i="47"/>
  <c r="FT111" i="47"/>
  <c r="T109" i="47"/>
  <c r="GT107" i="47"/>
  <c r="DT113" i="47"/>
  <c r="LT108" i="47"/>
  <c r="MG107" i="47"/>
  <c r="GF133" i="47"/>
  <c r="GG112" i="47"/>
  <c r="BG109" i="47"/>
  <c r="JT108" i="47"/>
  <c r="MG109" i="47"/>
  <c r="LT113" i="47"/>
  <c r="AT114" i="47"/>
  <c r="T110" i="47"/>
  <c r="CT110" i="47"/>
  <c r="ER139" i="47"/>
  <c r="KF138" i="47"/>
  <c r="CT111" i="47"/>
  <c r="IG107" i="47"/>
  <c r="AG111" i="47"/>
  <c r="ET112" i="47"/>
  <c r="JG114" i="47"/>
  <c r="BG113" i="47"/>
  <c r="B107" i="47"/>
  <c r="GB132" i="47" s="1"/>
  <c r="AT113" i="47"/>
  <c r="IG111" i="47"/>
  <c r="EG107" i="47"/>
  <c r="DG108" i="47"/>
  <c r="GT111" i="47"/>
  <c r="FG110" i="47"/>
  <c r="BG107" i="47"/>
  <c r="AT111" i="47"/>
  <c r="DG111" i="47"/>
  <c r="KG112" i="47"/>
  <c r="FT107" i="47"/>
  <c r="IT113" i="47"/>
  <c r="IO138" i="47" s="1"/>
  <c r="CG111" i="47"/>
  <c r="IG114" i="47"/>
  <c r="DG114" i="47"/>
  <c r="DT107" i="47"/>
  <c r="CG112" i="47"/>
  <c r="T107" i="47"/>
  <c r="JG109" i="47"/>
  <c r="ME138" i="47"/>
  <c r="FS135" i="47"/>
  <c r="IE139" i="47"/>
  <c r="FG109" i="47"/>
  <c r="IT112" i="47"/>
  <c r="IO137" i="47" s="1"/>
  <c r="AG112" i="47"/>
  <c r="GG107" i="47"/>
  <c r="DT108" i="47"/>
  <c r="BG112" i="47"/>
  <c r="GT108" i="47"/>
  <c r="JG110" i="47"/>
  <c r="AE135" i="47"/>
  <c r="FR138" i="47"/>
  <c r="LG112" i="47"/>
  <c r="ET113" i="47"/>
  <c r="FT113" i="47"/>
  <c r="EG112" i="47"/>
  <c r="EB137" i="47" s="1"/>
  <c r="CT112" i="47"/>
  <c r="T114" i="47"/>
  <c r="CT108" i="47"/>
  <c r="CG113" i="47"/>
  <c r="BE137" i="47"/>
  <c r="GS132" i="47"/>
  <c r="LF137" i="47"/>
  <c r="DE137" i="47"/>
  <c r="KE138" i="47"/>
  <c r="F80" i="33"/>
  <c r="C116" i="28"/>
  <c r="B116" i="28" s="1"/>
  <c r="C116" i="47"/>
  <c r="B116" i="47" s="1"/>
  <c r="D138" i="48"/>
  <c r="CR138" i="47"/>
  <c r="FS133" i="47"/>
  <c r="GG113" i="47"/>
  <c r="CG107" i="47"/>
  <c r="HG107" i="47"/>
  <c r="MG108" i="47"/>
  <c r="GT112" i="47"/>
  <c r="MG113" i="47"/>
  <c r="MG114" i="47"/>
  <c r="E126" i="47"/>
  <c r="E153" i="48"/>
  <c r="E126" i="28"/>
  <c r="D126" i="28" s="1"/>
  <c r="R98" i="33"/>
  <c r="BS138" i="47"/>
  <c r="ES137" i="47"/>
  <c r="LS135" i="47"/>
  <c r="AE137" i="47"/>
  <c r="FS134" i="47"/>
  <c r="DR133" i="47"/>
  <c r="DF134" i="47"/>
  <c r="IF133" i="47"/>
  <c r="JS139" i="47"/>
  <c r="CS139" i="47"/>
  <c r="FF135" i="47"/>
  <c r="IF135" i="47"/>
  <c r="DS139" i="47"/>
  <c r="AE132" i="47"/>
  <c r="ER136" i="47"/>
  <c r="DE135" i="47"/>
  <c r="KR139" i="47"/>
  <c r="GS133" i="47"/>
  <c r="AS137" i="47"/>
  <c r="AS138" i="47"/>
  <c r="IR138" i="47"/>
  <c r="JS138" i="47"/>
  <c r="AF138" i="47"/>
  <c r="BS133" i="47"/>
  <c r="CF139" i="47"/>
  <c r="GF138" i="47"/>
  <c r="KF132" i="47"/>
  <c r="HE137" i="47"/>
  <c r="AR139" i="47"/>
  <c r="AT107" i="47"/>
  <c r="FG114" i="47"/>
  <c r="KT107" i="47"/>
  <c r="CT114" i="47"/>
  <c r="ET109" i="47"/>
  <c r="EO134" i="47" s="1"/>
  <c r="KG109" i="47"/>
  <c r="ET107" i="47"/>
  <c r="BG108" i="47"/>
  <c r="ET114" i="47"/>
  <c r="BT114" i="47"/>
  <c r="DT112" i="47"/>
  <c r="FT109" i="47"/>
  <c r="JG112" i="47"/>
  <c r="KT108" i="47"/>
  <c r="CT107" i="47"/>
  <c r="FT110" i="47"/>
  <c r="LT111" i="47"/>
  <c r="LO136" i="47" s="1"/>
  <c r="CT109" i="47"/>
  <c r="ET110" i="47"/>
  <c r="GG110" i="47"/>
  <c r="T111" i="47"/>
  <c r="LT112" i="47"/>
  <c r="HT107" i="47"/>
  <c r="FT114" i="47"/>
  <c r="HT111" i="47"/>
  <c r="AG107" i="47"/>
  <c r="DT110" i="47"/>
  <c r="MG112" i="47"/>
  <c r="GT113" i="47"/>
  <c r="GO138" i="47" s="1"/>
  <c r="T108" i="47"/>
  <c r="LG111" i="47"/>
  <c r="EG109" i="47"/>
  <c r="EG111" i="47"/>
  <c r="GE138" i="47"/>
  <c r="HE134" i="47"/>
  <c r="AR133" i="47"/>
  <c r="KS135" i="47"/>
  <c r="AS135" i="47"/>
  <c r="BE139" i="47"/>
  <c r="IR132" i="47"/>
  <c r="LS132" i="47"/>
  <c r="JF134" i="47"/>
  <c r="HE133" i="47"/>
  <c r="LF132" i="47"/>
  <c r="LS136" i="47"/>
  <c r="IE132" i="47"/>
  <c r="DE136" i="47"/>
  <c r="EF137" i="47"/>
  <c r="R137" i="47"/>
  <c r="DE134" i="47"/>
  <c r="CF134" i="47"/>
  <c r="FE138" i="47"/>
  <c r="KE134" i="47"/>
  <c r="EE138" i="47"/>
  <c r="ES134" i="47"/>
  <c r="BR139" i="47"/>
  <c r="BE132" i="47"/>
  <c r="ME132" i="47"/>
  <c r="IS136" i="47"/>
  <c r="DS137" i="47"/>
  <c r="HR132" i="47"/>
  <c r="BS134" i="47"/>
  <c r="GT110" i="47"/>
  <c r="IR139" i="47"/>
  <c r="R139" i="47"/>
  <c r="DS134" i="47"/>
  <c r="CG109" i="47"/>
  <c r="GG114" i="47"/>
  <c r="HT110" i="47"/>
  <c r="LT107" i="47"/>
  <c r="IG113" i="47"/>
  <c r="JT110" i="47"/>
  <c r="GG108" i="47"/>
  <c r="BT111" i="47"/>
  <c r="HG110" i="47"/>
  <c r="LT109" i="47"/>
  <c r="JT113" i="47"/>
  <c r="GG109" i="47"/>
  <c r="KG107" i="47"/>
  <c r="KF137" i="47"/>
  <c r="S135" i="47"/>
  <c r="HR136" i="47"/>
  <c r="BR135" i="47"/>
  <c r="FE133" i="47"/>
  <c r="LR135" i="47"/>
  <c r="S139" i="47"/>
  <c r="JF138" i="47"/>
  <c r="JF137" i="47"/>
  <c r="KE135" i="47"/>
  <c r="KR133" i="47"/>
  <c r="EE133" i="47"/>
  <c r="MF134" i="47"/>
  <c r="R135" i="47"/>
  <c r="AE136" i="47"/>
  <c r="LE132" i="47"/>
  <c r="GF132" i="47"/>
  <c r="FR136" i="47"/>
  <c r="ME136" i="47"/>
  <c r="EE134" i="47"/>
  <c r="DR132" i="47"/>
  <c r="LS137" i="47"/>
  <c r="CF136" i="47"/>
  <c r="BE133" i="47"/>
  <c r="AS139" i="47"/>
  <c r="KR138" i="47"/>
  <c r="S132" i="47"/>
  <c r="CE135" i="47"/>
  <c r="AF132" i="47"/>
  <c r="GE139" i="47"/>
  <c r="AS133" i="47"/>
  <c r="KS133" i="47"/>
  <c r="LE136" i="47"/>
  <c r="AR135" i="47"/>
  <c r="CG110" i="47"/>
  <c r="GG111" i="47"/>
  <c r="LT110" i="47"/>
  <c r="CG114" i="47"/>
  <c r="BG111" i="47"/>
  <c r="KT109" i="47"/>
  <c r="DT109" i="47"/>
  <c r="IG112" i="47"/>
  <c r="HG114" i="47"/>
  <c r="MG110" i="47"/>
  <c r="HG112" i="47"/>
  <c r="BT108" i="47"/>
  <c r="LG108" i="47"/>
  <c r="BE134" i="47"/>
  <c r="HS133" i="47"/>
  <c r="AF134" i="47"/>
  <c r="KF136" i="47"/>
  <c r="FE135" i="47"/>
  <c r="IS137" i="47"/>
  <c r="LF138" i="47"/>
  <c r="AR136" i="47"/>
  <c r="JE137" i="47"/>
  <c r="DE138" i="47"/>
  <c r="EF135" i="47"/>
  <c r="HR133" i="47"/>
  <c r="HF133" i="47"/>
  <c r="DR134" i="47"/>
  <c r="DE132" i="47"/>
  <c r="GR133" i="47"/>
  <c r="LE135" i="47"/>
  <c r="BF132" i="47"/>
  <c r="AE139" i="47"/>
  <c r="JS135" i="47"/>
  <c r="ER138" i="47"/>
  <c r="IS139" i="47"/>
  <c r="IR136" i="47"/>
  <c r="BF133" i="47"/>
  <c r="AF139" i="47"/>
  <c r="LF134" i="47"/>
  <c r="EF133" i="47"/>
  <c r="AS134" i="47"/>
  <c r="HF138" i="47"/>
  <c r="JR138" i="47"/>
  <c r="GS135" i="47"/>
  <c r="EE136" i="47"/>
  <c r="JR136" i="47"/>
  <c r="MF136" i="47"/>
  <c r="IF139" i="47"/>
  <c r="HE139" i="47"/>
  <c r="GR139" i="47"/>
  <c r="IF132" i="47"/>
  <c r="CR132" i="47"/>
  <c r="DF132" i="47"/>
  <c r="GR132" i="47"/>
  <c r="GR134" i="47"/>
  <c r="JE138" i="47"/>
  <c r="ER135" i="47"/>
  <c r="HE136" i="47"/>
  <c r="HR134" i="47"/>
  <c r="ME135" i="47"/>
  <c r="MF133" i="47"/>
  <c r="IF138" i="47"/>
  <c r="KE139" i="47"/>
  <c r="GE134" i="47"/>
  <c r="IE134" i="47"/>
  <c r="LF139" i="47"/>
  <c r="BS132" i="47"/>
  <c r="BF134" i="47"/>
  <c r="DR136" i="47"/>
  <c r="HR135" i="47"/>
  <c r="CF135" i="47"/>
  <c r="AE134" i="47"/>
  <c r="HF136" i="47"/>
  <c r="R138" i="47"/>
  <c r="LS139" i="47"/>
  <c r="JR139" i="47"/>
  <c r="KS136" i="47"/>
  <c r="IE138" i="47"/>
  <c r="EE132" i="47"/>
  <c r="AF133" i="47"/>
  <c r="BE138" i="47"/>
  <c r="LF136" i="47"/>
  <c r="JS132" i="47"/>
  <c r="GR138" i="47"/>
  <c r="CE134" i="47"/>
  <c r="FR139" i="47"/>
  <c r="GE135" i="47"/>
  <c r="IF134" i="47"/>
  <c r="KR137" i="47"/>
  <c r="HS136" i="47"/>
  <c r="MF139" i="47"/>
  <c r="CE137" i="47"/>
  <c r="HS138" i="47"/>
  <c r="IT109" i="47"/>
  <c r="HT113" i="47"/>
  <c r="AG109" i="47"/>
  <c r="AB134" i="47" s="1"/>
  <c r="KT113" i="47"/>
  <c r="DT114" i="47"/>
  <c r="ET111" i="47"/>
  <c r="IG108" i="47"/>
  <c r="FG108" i="47"/>
  <c r="BT110" i="47"/>
  <c r="HG111" i="47"/>
  <c r="DG113" i="47"/>
  <c r="KT110" i="47"/>
  <c r="DT111" i="47"/>
  <c r="KR134" i="47"/>
  <c r="DR138" i="47"/>
  <c r="LR132" i="47"/>
  <c r="EF136" i="47"/>
  <c r="JF133" i="47"/>
  <c r="DF139" i="47"/>
  <c r="CS134" i="47"/>
  <c r="DS136" i="47"/>
  <c r="DR137" i="47"/>
  <c r="HS139" i="47"/>
  <c r="R136" i="47"/>
  <c r="FF132" i="47"/>
  <c r="CS135" i="47"/>
  <c r="LE134" i="47"/>
  <c r="KR136" i="47"/>
  <c r="DF135" i="47"/>
  <c r="LF133" i="47"/>
  <c r="LF135" i="47"/>
  <c r="R134" i="47"/>
  <c r="GF139" i="47"/>
  <c r="S136" i="47"/>
  <c r="KS137" i="47"/>
  <c r="IS133" i="47"/>
  <c r="KS134" i="47"/>
  <c r="ES138" i="47"/>
  <c r="DR139" i="47"/>
  <c r="JR134" i="47"/>
  <c r="HS134" i="47"/>
  <c r="DF137" i="47"/>
  <c r="FS138" i="47"/>
  <c r="FE139" i="47"/>
  <c r="FF139" i="47"/>
  <c r="S138" i="47"/>
  <c r="JE132" i="47"/>
  <c r="DS132" i="47"/>
  <c r="CE138" i="47"/>
  <c r="LR136" i="47"/>
  <c r="IS132" i="47"/>
  <c r="JF136" i="47"/>
  <c r="EE137" i="47"/>
  <c r="BR134" i="47"/>
  <c r="BF139" i="47"/>
  <c r="GS136" i="47"/>
  <c r="CR139" i="47"/>
  <c r="ES133" i="47"/>
  <c r="CF137" i="47"/>
  <c r="LE139" i="47"/>
  <c r="IR134" i="47"/>
  <c r="FF133" i="47"/>
  <c r="LS133" i="47"/>
  <c r="AS132" i="47"/>
  <c r="GR136" i="47"/>
  <c r="GE137" i="47"/>
  <c r="BT113" i="47"/>
  <c r="EG113" i="47"/>
  <c r="KG111" i="47"/>
  <c r="LG114" i="47"/>
  <c r="JT114" i="47"/>
  <c r="KG113" i="47"/>
  <c r="KT114" i="47"/>
  <c r="AG114" i="47"/>
  <c r="MG111" i="47"/>
  <c r="LE133" i="47"/>
  <c r="FF138" i="47"/>
  <c r="AR134" i="47"/>
  <c r="FF134" i="47"/>
  <c r="IF136" i="47"/>
  <c r="MF137" i="47"/>
  <c r="LS138" i="47"/>
  <c r="HE132" i="47"/>
  <c r="FR133" i="47"/>
  <c r="GS134" i="47"/>
  <c r="HE138" i="47"/>
  <c r="BF135" i="47"/>
  <c r="KE132" i="47"/>
  <c r="ER132" i="47"/>
  <c r="MF132" i="47"/>
  <c r="FR137" i="47"/>
  <c r="FF137" i="47"/>
  <c r="KS139" i="47"/>
  <c r="HF132" i="47"/>
  <c r="EF139" i="47"/>
  <c r="HR137" i="47"/>
  <c r="LR134" i="47"/>
  <c r="BF136" i="47"/>
  <c r="R132" i="47"/>
  <c r="KF135" i="47"/>
  <c r="IE135" i="47"/>
  <c r="GS138" i="47"/>
  <c r="FE137" i="47"/>
  <c r="AF136" i="47"/>
  <c r="BF137" i="47"/>
  <c r="KF139" i="47"/>
  <c r="S134" i="47"/>
  <c r="FR135" i="47"/>
  <c r="AG108" i="47"/>
  <c r="DG107" i="47"/>
  <c r="LG107" i="47"/>
  <c r="HG109" i="47"/>
  <c r="FG107" i="47"/>
  <c r="BT112" i="47"/>
  <c r="LG109" i="47"/>
  <c r="FG112" i="47"/>
  <c r="EG114" i="47"/>
  <c r="HT114" i="47"/>
  <c r="JG108" i="47"/>
  <c r="JT111" i="47"/>
  <c r="IG110" i="47"/>
  <c r="KE133" i="47"/>
  <c r="BR138" i="47"/>
  <c r="HF139" i="47"/>
  <c r="BR132" i="47"/>
  <c r="IR137" i="47"/>
  <c r="IE137" i="47"/>
  <c r="CS132" i="47"/>
  <c r="ME139" i="47"/>
  <c r="GS139" i="47"/>
  <c r="JR135" i="47"/>
  <c r="AE138" i="47"/>
  <c r="CS138" i="47"/>
  <c r="LR138" i="47"/>
  <c r="IS138" i="47"/>
  <c r="BE135" i="47"/>
  <c r="AR137" i="47"/>
  <c r="MF138" i="47"/>
  <c r="KS132" i="47"/>
  <c r="BS139" i="47"/>
  <c r="ME134" i="47"/>
  <c r="AS136" i="47"/>
  <c r="GR135" i="47"/>
  <c r="ES135" i="47"/>
  <c r="IS134" i="47"/>
  <c r="FS139" i="47"/>
  <c r="GF137" i="47"/>
  <c r="JE136" i="47"/>
  <c r="CS137" i="47"/>
  <c r="DS133" i="47"/>
  <c r="LR137" i="47"/>
  <c r="IS135" i="47"/>
  <c r="GF134" i="47"/>
  <c r="HR139" i="47"/>
  <c r="KG114" i="47"/>
  <c r="AG110" i="47"/>
  <c r="DG110" i="47"/>
  <c r="FG111" i="47"/>
  <c r="T112" i="47"/>
  <c r="HT108" i="47"/>
  <c r="DG112" i="47"/>
  <c r="HG113" i="47"/>
  <c r="CG108" i="47"/>
  <c r="IT107" i="47"/>
  <c r="IG109" i="47"/>
  <c r="FT108" i="47"/>
  <c r="GT109" i="47"/>
  <c r="FS137" i="47"/>
  <c r="KS138" i="47"/>
  <c r="BE136" i="47"/>
  <c r="ES139" i="47"/>
  <c r="EF132" i="47"/>
  <c r="GE136" i="47"/>
  <c r="GF136" i="47"/>
  <c r="GR137" i="47"/>
  <c r="CR136" i="47"/>
  <c r="ES132" i="47"/>
  <c r="GS137" i="47"/>
  <c r="ER137" i="47"/>
  <c r="CS133" i="47"/>
  <c r="JS137" i="47"/>
  <c r="IR135" i="47"/>
  <c r="EE139" i="47"/>
  <c r="GF135" i="47"/>
  <c r="FR132" i="47"/>
  <c r="R133" i="47"/>
  <c r="KR135" i="47"/>
  <c r="CF138" i="47"/>
  <c r="BR133" i="47"/>
  <c r="ER134" i="47"/>
  <c r="JR137" i="47"/>
  <c r="BS136" i="47"/>
  <c r="DS135" i="47"/>
  <c r="HR138" i="47"/>
  <c r="JE135" i="47"/>
  <c r="JR133" i="47"/>
  <c r="MF135" i="47"/>
  <c r="CE133" i="47"/>
  <c r="JF135" i="47"/>
  <c r="JF139" i="47"/>
  <c r="FS136" i="47"/>
  <c r="FT112" i="47"/>
  <c r="EG110" i="47"/>
  <c r="HT109" i="47"/>
  <c r="JG107" i="47"/>
  <c r="AT108" i="47"/>
  <c r="JT109" i="47"/>
  <c r="IT110" i="47"/>
  <c r="BG110" i="47"/>
  <c r="KT112" i="47"/>
  <c r="AT110" i="47"/>
  <c r="IT108" i="47"/>
  <c r="KT111" i="47"/>
  <c r="LS134" i="47"/>
  <c r="ME137" i="47"/>
  <c r="CF132" i="47"/>
  <c r="LE137" i="47"/>
  <c r="DE133" i="47"/>
  <c r="HS137" i="47"/>
  <c r="AE133" i="47"/>
  <c r="CR133" i="47"/>
  <c r="CE136" i="47"/>
  <c r="LR133" i="47"/>
  <c r="AR138" i="47"/>
  <c r="HF135" i="47"/>
  <c r="CR137" i="47"/>
  <c r="BS137" i="47"/>
  <c r="FR134" i="47"/>
  <c r="S133" i="47"/>
  <c r="S137" i="47"/>
  <c r="ER133" i="47"/>
  <c r="ME133" i="47"/>
  <c r="DF136" i="47"/>
  <c r="HF134" i="47"/>
  <c r="JS134" i="47"/>
  <c r="CS136" i="47"/>
  <c r="IE136" i="47"/>
  <c r="GE133" i="47"/>
  <c r="CR135" i="47"/>
  <c r="HS132" i="47"/>
  <c r="DE139" i="47"/>
  <c r="JE139" i="47"/>
  <c r="CR134" i="47"/>
  <c r="JR132" i="47"/>
  <c r="BF138" i="47"/>
  <c r="KR132" i="47"/>
  <c r="HF137" i="47"/>
  <c r="KF134" i="47"/>
  <c r="CE139" i="47"/>
  <c r="JS136" i="47"/>
  <c r="DS138" i="47"/>
  <c r="BR137" i="47"/>
  <c r="JE133" i="47"/>
  <c r="LR139" i="47"/>
  <c r="DF138" i="47"/>
  <c r="CE132" i="47"/>
  <c r="FS132" i="47"/>
  <c r="JS133" i="47"/>
  <c r="GE132" i="47"/>
  <c r="LE138" i="47"/>
  <c r="FE136" i="47"/>
  <c r="FF136" i="47"/>
  <c r="FE132" i="47"/>
  <c r="BR136" i="47"/>
  <c r="CF133" i="47"/>
  <c r="AF135" i="47"/>
  <c r="AF137" i="47"/>
  <c r="DF133" i="47"/>
  <c r="DR135" i="47"/>
  <c r="IF137" i="47"/>
  <c r="ES136" i="47"/>
  <c r="AR132" i="47"/>
  <c r="FE134" i="47"/>
  <c r="JE134" i="47"/>
  <c r="KF133" i="47"/>
  <c r="HE135" i="47"/>
  <c r="IR133" i="47"/>
  <c r="BS135" i="47"/>
  <c r="KE136" i="47"/>
  <c r="IE133" i="47"/>
  <c r="JF132" i="47"/>
  <c r="KE137" i="47"/>
  <c r="D122" i="47"/>
  <c r="E124" i="47"/>
  <c r="E124" i="28"/>
  <c r="D124" i="28" s="1"/>
  <c r="E150" i="48"/>
  <c r="D118" i="47"/>
  <c r="FG118" i="47"/>
  <c r="LP139" i="47"/>
  <c r="MD136" i="47"/>
  <c r="BP132" i="47"/>
  <c r="GQ136" i="47"/>
  <c r="BC137" i="47"/>
  <c r="FP108" i="47"/>
  <c r="EP113" i="47"/>
  <c r="BP112" i="47"/>
  <c r="LX91" i="47"/>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LD134" i="47" l="1"/>
  <c r="JP113" i="47"/>
  <c r="LP112" i="47"/>
  <c r="CC112" i="47"/>
  <c r="KD134" i="47"/>
  <c r="KD137" i="47"/>
  <c r="Q132" i="47"/>
  <c r="DC138" i="47"/>
  <c r="EQ132" i="47"/>
  <c r="AC132" i="47"/>
  <c r="IB136" i="47"/>
  <c r="KO139" i="47"/>
  <c r="GO135" i="47"/>
  <c r="FQ138" i="47"/>
  <c r="AB139" i="47"/>
  <c r="BC114" i="47"/>
  <c r="LC110" i="47"/>
  <c r="EC110" i="47"/>
  <c r="LC135" i="47"/>
  <c r="Q136" i="47"/>
  <c r="MC138" i="47"/>
  <c r="DQ139" i="47"/>
  <c r="GD132" i="47"/>
  <c r="HP138" i="47"/>
  <c r="HO139" i="47"/>
  <c r="FP139" i="47"/>
  <c r="JP111" i="47"/>
  <c r="BP107" i="47"/>
  <c r="GC110" i="47"/>
  <c r="BP139" i="47"/>
  <c r="FC132" i="47"/>
  <c r="P138" i="47"/>
  <c r="FQ133" i="47"/>
  <c r="CD135" i="47"/>
  <c r="HQ134" i="47"/>
  <c r="EB139" i="47"/>
  <c r="FP138" i="47"/>
  <c r="MC111" i="47"/>
  <c r="DP113" i="47"/>
  <c r="CP111" i="47"/>
  <c r="BD138" i="47"/>
  <c r="JP136" i="47"/>
  <c r="JQ133" i="47"/>
  <c r="BC138" i="47"/>
  <c r="BQ137" i="47"/>
  <c r="DD137" i="47"/>
  <c r="IO132" i="47"/>
  <c r="JO135" i="47"/>
  <c r="MB137" i="47"/>
  <c r="CP108" i="47"/>
  <c r="DP135" i="47"/>
  <c r="LQ135" i="47"/>
  <c r="JP135" i="47"/>
  <c r="CB133" i="47"/>
  <c r="IB138" i="47"/>
  <c r="HO138" i="47"/>
  <c r="EC108" i="47"/>
  <c r="ED139" i="47"/>
  <c r="MC108" i="47"/>
  <c r="JP108" i="47"/>
  <c r="JS108" i="47" s="1"/>
  <c r="KP108" i="47"/>
  <c r="BQ132" i="47"/>
  <c r="AC137" i="47"/>
  <c r="HP135" i="47"/>
  <c r="BQ139" i="47"/>
  <c r="IQ132" i="47"/>
  <c r="DQ134" i="47"/>
  <c r="KO137" i="47"/>
  <c r="BB136" i="47"/>
  <c r="DP109" i="47"/>
  <c r="CO139" i="47"/>
  <c r="MC112" i="47"/>
  <c r="MD112" i="47" s="1"/>
  <c r="ME112" i="47" s="1"/>
  <c r="HD135" i="47"/>
  <c r="IP134" i="47"/>
  <c r="DC111" i="47"/>
  <c r="KC108" i="47"/>
  <c r="BC108" i="47"/>
  <c r="LC138" i="47"/>
  <c r="LC134" i="47"/>
  <c r="GQ138" i="47"/>
  <c r="KP134" i="47"/>
  <c r="AD132" i="47"/>
  <c r="KQ134" i="47"/>
  <c r="CB138" i="47"/>
  <c r="BB135" i="47"/>
  <c r="CB139" i="47"/>
  <c r="BC107" i="47"/>
  <c r="JC111" i="47"/>
  <c r="JC134" i="47"/>
  <c r="GC114" i="47"/>
  <c r="CD139" i="47"/>
  <c r="FO135" i="47"/>
  <c r="HP108" i="47"/>
  <c r="IC137" i="47"/>
  <c r="HQ132" i="47"/>
  <c r="EQ134" i="47"/>
  <c r="JC110" i="47"/>
  <c r="MC109" i="47"/>
  <c r="HC111" i="47"/>
  <c r="IQ139" i="47"/>
  <c r="FP136" i="47"/>
  <c r="LD132" i="47"/>
  <c r="JQ134" i="47"/>
  <c r="P134" i="47"/>
  <c r="AB132" i="47"/>
  <c r="O134" i="47"/>
  <c r="HP107" i="47"/>
  <c r="P135" i="47"/>
  <c r="JQ137" i="47"/>
  <c r="IP110" i="47"/>
  <c r="BC111" i="47"/>
  <c r="EP111" i="47"/>
  <c r="P133" i="47"/>
  <c r="ID139" i="47"/>
  <c r="DQ135" i="47"/>
  <c r="AD138" i="47"/>
  <c r="EQ135" i="47"/>
  <c r="CO137" i="47"/>
  <c r="AB137" i="47"/>
  <c r="CB136" i="47"/>
  <c r="AO138" i="47"/>
  <c r="CG116" i="47"/>
  <c r="BO134" i="47"/>
  <c r="IO136" i="47"/>
  <c r="LO138" i="47"/>
  <c r="AO137" i="47"/>
  <c r="FP112" i="47"/>
  <c r="FC107" i="47"/>
  <c r="JC107" i="47"/>
  <c r="HC114" i="47"/>
  <c r="EP114" i="47"/>
  <c r="HC110" i="47"/>
  <c r="HF110" i="47" s="1"/>
  <c r="HP113" i="47"/>
  <c r="HC108" i="47"/>
  <c r="AC108" i="47"/>
  <c r="P113" i="47"/>
  <c r="CC111" i="47"/>
  <c r="CD111" i="47" s="1"/>
  <c r="CE111" i="47" s="1"/>
  <c r="IP112" i="47"/>
  <c r="IQ112" i="47" s="1"/>
  <c r="IR112" i="47" s="1"/>
  <c r="AP112" i="47"/>
  <c r="FC114" i="47"/>
  <c r="GC113" i="47"/>
  <c r="AC114" i="47"/>
  <c r="P111" i="47"/>
  <c r="EP109" i="47"/>
  <c r="ES109" i="47" s="1"/>
  <c r="BQ136" i="47"/>
  <c r="BD134" i="47"/>
  <c r="GD137" i="47"/>
  <c r="FQ139" i="47"/>
  <c r="JC136" i="47"/>
  <c r="BC136" i="47"/>
  <c r="JD132" i="47"/>
  <c r="BQ138" i="47"/>
  <c r="HP132" i="47"/>
  <c r="AC139" i="47"/>
  <c r="BD135" i="47"/>
  <c r="LC139" i="47"/>
  <c r="HP134" i="47"/>
  <c r="DD135" i="47"/>
  <c r="HQ135" i="47"/>
  <c r="FD138" i="47"/>
  <c r="CC137" i="47"/>
  <c r="MD137" i="47"/>
  <c r="AP133" i="47"/>
  <c r="FQ137" i="47"/>
  <c r="GD136" i="47"/>
  <c r="LC133" i="47"/>
  <c r="HC132" i="47"/>
  <c r="FQ135" i="47"/>
  <c r="EC138" i="47"/>
  <c r="EP133" i="47"/>
  <c r="HC137" i="47"/>
  <c r="JQ138" i="47"/>
  <c r="AD139" i="47"/>
  <c r="CP132" i="47"/>
  <c r="KC137" i="47"/>
  <c r="MD133" i="47"/>
  <c r="JC138" i="47"/>
  <c r="EQ138" i="47"/>
  <c r="GO132" i="47"/>
  <c r="JG116" i="47"/>
  <c r="JB141" i="47" s="1"/>
  <c r="IO135" i="47"/>
  <c r="HB138" i="47"/>
  <c r="FB137" i="47"/>
  <c r="KB138" i="47"/>
  <c r="DO136" i="47"/>
  <c r="IO134" i="47"/>
  <c r="O133" i="47"/>
  <c r="LO135" i="47"/>
  <c r="LO132" i="47"/>
  <c r="DO135" i="47"/>
  <c r="FO132" i="47"/>
  <c r="KP112" i="47"/>
  <c r="KS112" i="47" s="1"/>
  <c r="LP111" i="47"/>
  <c r="MC114" i="47"/>
  <c r="HP112" i="47"/>
  <c r="IC109" i="47"/>
  <c r="BP114" i="47"/>
  <c r="BS114" i="47" s="1"/>
  <c r="JP110" i="47"/>
  <c r="JS110" i="47" s="1"/>
  <c r="LC112" i="47"/>
  <c r="IP108" i="47"/>
  <c r="AP111" i="47"/>
  <c r="IP111" i="47"/>
  <c r="EP110" i="47"/>
  <c r="LC107" i="47"/>
  <c r="LD107" i="47" s="1"/>
  <c r="KP111" i="47"/>
  <c r="AP114" i="47"/>
  <c r="GP111" i="47"/>
  <c r="LC114" i="47"/>
  <c r="AQ135" i="47"/>
  <c r="KC133" i="47"/>
  <c r="AQ134" i="47"/>
  <c r="AQ137" i="47"/>
  <c r="FQ132" i="47"/>
  <c r="CQ132" i="47"/>
  <c r="KC132" i="47"/>
  <c r="HC133" i="47"/>
  <c r="EQ136" i="47"/>
  <c r="FD132" i="47"/>
  <c r="JP132" i="47"/>
  <c r="Q135" i="47"/>
  <c r="FP135" i="47"/>
  <c r="BP138" i="47"/>
  <c r="LQ132" i="47"/>
  <c r="GC134" i="47"/>
  <c r="JD136" i="47"/>
  <c r="BC139" i="47"/>
  <c r="GQ134" i="47"/>
  <c r="DP133" i="47"/>
  <c r="IQ133" i="47"/>
  <c r="JD134" i="47"/>
  <c r="DP136" i="47"/>
  <c r="IQ136" i="47"/>
  <c r="FD133" i="47"/>
  <c r="EQ137" i="47"/>
  <c r="BQ133" i="47"/>
  <c r="GD133" i="47"/>
  <c r="CQ138" i="47"/>
  <c r="GC133" i="47"/>
  <c r="DP137" i="47"/>
  <c r="HC136" i="47"/>
  <c r="CQ136" i="47"/>
  <c r="CQ139" i="47"/>
  <c r="AP138" i="47"/>
  <c r="BO132" i="47"/>
  <c r="DT119" i="47"/>
  <c r="DO144" i="47" s="1"/>
  <c r="JO134" i="47"/>
  <c r="DB137" i="47"/>
  <c r="LB134" i="47"/>
  <c r="JO139" i="47"/>
  <c r="KO135" i="47"/>
  <c r="DB133" i="47"/>
  <c r="BB133" i="47"/>
  <c r="GB136" i="47"/>
  <c r="HO135" i="47"/>
  <c r="KO133" i="47"/>
  <c r="FB139" i="47"/>
  <c r="MB139" i="47"/>
  <c r="EO138" i="47"/>
  <c r="KB137" i="47"/>
  <c r="CP112" i="47"/>
  <c r="KP114" i="47"/>
  <c r="CP109" i="47"/>
  <c r="BP108" i="47"/>
  <c r="IC113" i="47"/>
  <c r="ID113" i="47" s="1"/>
  <c r="IE113" i="47" s="1"/>
  <c r="EP112" i="47"/>
  <c r="GP113" i="47"/>
  <c r="KC111" i="47"/>
  <c r="DC112" i="47"/>
  <c r="FP107" i="47"/>
  <c r="FS107" i="47" s="1"/>
  <c r="LP114" i="47"/>
  <c r="LQ114" i="47" s="1"/>
  <c r="LR114" i="47" s="1"/>
  <c r="GC108" i="47"/>
  <c r="EC109" i="47"/>
  <c r="IC110" i="47"/>
  <c r="DC110" i="47"/>
  <c r="GP108" i="47"/>
  <c r="JP114" i="47"/>
  <c r="JQ114" i="47" s="1"/>
  <c r="JR114" i="47" s="1"/>
  <c r="MC134" i="47"/>
  <c r="HD136" i="47"/>
  <c r="EP137" i="47"/>
  <c r="EC134" i="47"/>
  <c r="IC135" i="47"/>
  <c r="ID132" i="47"/>
  <c r="JD135" i="47"/>
  <c r="JC135" i="47"/>
  <c r="ED135" i="47"/>
  <c r="DQ132" i="47"/>
  <c r="IQ138" i="47"/>
  <c r="CC136" i="47"/>
  <c r="LP133" i="47"/>
  <c r="IP136" i="47"/>
  <c r="GP136" i="47"/>
  <c r="LP136" i="47"/>
  <c r="BQ135" i="47"/>
  <c r="JD138" i="47"/>
  <c r="BC135" i="47"/>
  <c r="MC135" i="47"/>
  <c r="IP135" i="47"/>
  <c r="AC138" i="47"/>
  <c r="Q133" i="47"/>
  <c r="IP132" i="47"/>
  <c r="MC139" i="47"/>
  <c r="HQ136" i="47"/>
  <c r="HC135" i="47"/>
  <c r="P132" i="47"/>
  <c r="GQ132" i="47"/>
  <c r="GD138" i="47"/>
  <c r="GP133" i="47"/>
  <c r="ID134" i="47"/>
  <c r="CD138" i="47"/>
  <c r="LQ133" i="47"/>
  <c r="DC134" i="47"/>
  <c r="EB132" i="47"/>
  <c r="AO133" i="47"/>
  <c r="HO133" i="47"/>
  <c r="BO137" i="47"/>
  <c r="LB139" i="47"/>
  <c r="DB138" i="47"/>
  <c r="CO138" i="47"/>
  <c r="LB133" i="47"/>
  <c r="CB135" i="47"/>
  <c r="GB139" i="47"/>
  <c r="HO136" i="47"/>
  <c r="JB137" i="47"/>
  <c r="AO132" i="47"/>
  <c r="MB138" i="47"/>
  <c r="P114" i="47"/>
  <c r="MC107" i="47"/>
  <c r="JC112" i="47"/>
  <c r="KC112" i="47"/>
  <c r="KF112" i="47" s="1"/>
  <c r="EP107" i="47"/>
  <c r="ES107" i="47" s="1"/>
  <c r="LP110" i="47"/>
  <c r="CC107" i="47"/>
  <c r="FP113" i="47"/>
  <c r="KC113" i="47"/>
  <c r="FC113" i="47"/>
  <c r="P108" i="47"/>
  <c r="S108" i="47" s="1"/>
  <c r="FP114" i="47"/>
  <c r="JC113" i="47"/>
  <c r="BP111" i="47"/>
  <c r="IP113" i="47"/>
  <c r="GP110" i="47"/>
  <c r="GQ110" i="47" s="1"/>
  <c r="GR110" i="47" s="1"/>
  <c r="LP113" i="47"/>
  <c r="LQ113" i="47" s="1"/>
  <c r="LR113" i="47" s="1"/>
  <c r="Q138" i="47"/>
  <c r="HQ139" i="47"/>
  <c r="EP135" i="47"/>
  <c r="DD134" i="47"/>
  <c r="LD135" i="47"/>
  <c r="MD138" i="47"/>
  <c r="IC132" i="47"/>
  <c r="BD132" i="47"/>
  <c r="FP132" i="47"/>
  <c r="ID133" i="47"/>
  <c r="LD139" i="47"/>
  <c r="JQ136" i="47"/>
  <c r="KC135" i="47"/>
  <c r="LC132" i="47"/>
  <c r="DC135" i="47"/>
  <c r="ID136" i="47"/>
  <c r="AQ138" i="47"/>
  <c r="KQ135" i="47"/>
  <c r="JP134" i="47"/>
  <c r="FC137" i="47"/>
  <c r="ID135" i="47"/>
  <c r="DD132" i="47"/>
  <c r="AQ136" i="47"/>
  <c r="DC132" i="47"/>
  <c r="AD135" i="47"/>
  <c r="AQ139" i="47"/>
  <c r="MD135" i="47"/>
  <c r="LD133" i="47"/>
  <c r="HD132" i="47"/>
  <c r="HC139" i="47"/>
  <c r="Q139" i="47"/>
  <c r="AP136" i="47"/>
  <c r="LQ136" i="47"/>
  <c r="FP133" i="47"/>
  <c r="ED138" i="47"/>
  <c r="DO132" i="47"/>
  <c r="CB132" i="47"/>
  <c r="JB132" i="47"/>
  <c r="O137" i="47"/>
  <c r="FB132" i="47"/>
  <c r="KB136" i="47"/>
  <c r="HB136" i="47"/>
  <c r="BO133" i="47"/>
  <c r="FO138" i="47"/>
  <c r="KB132" i="47"/>
  <c r="CB134" i="47"/>
  <c r="FO139" i="47"/>
  <c r="FO134" i="47"/>
  <c r="DB139" i="47"/>
  <c r="GO137" i="47"/>
  <c r="KP109" i="47"/>
  <c r="EC111" i="47"/>
  <c r="KC114" i="47"/>
  <c r="LP107" i="47"/>
  <c r="LS107" i="47" s="1"/>
  <c r="LC109" i="47"/>
  <c r="BC112" i="47"/>
  <c r="AC113" i="47"/>
  <c r="EC113" i="47"/>
  <c r="AP113" i="47"/>
  <c r="AQ113" i="47" s="1"/>
  <c r="AR113" i="47" s="1"/>
  <c r="DC113" i="47"/>
  <c r="DF113" i="47" s="1"/>
  <c r="GC111" i="47"/>
  <c r="HP109" i="47"/>
  <c r="HP110" i="47"/>
  <c r="HC113" i="47"/>
  <c r="AP109" i="47"/>
  <c r="AQ109" i="47" s="1"/>
  <c r="AR109" i="47" s="1"/>
  <c r="LC108" i="47"/>
  <c r="LD108" i="47" s="1"/>
  <c r="LE108" i="47" s="1"/>
  <c r="AC107" i="47"/>
  <c r="JP137" i="47"/>
  <c r="DC136" i="47"/>
  <c r="DQ137" i="47"/>
  <c r="AP134" i="47"/>
  <c r="GD135" i="47"/>
  <c r="KP138" i="47"/>
  <c r="EP136" i="47"/>
  <c r="MD139" i="47"/>
  <c r="P139" i="47"/>
  <c r="HD137" i="47"/>
  <c r="HD133" i="47"/>
  <c r="CQ135" i="47"/>
  <c r="HP137" i="47"/>
  <c r="GQ135" i="47"/>
  <c r="Q134" i="47"/>
  <c r="CQ133" i="47"/>
  <c r="DC137" i="47"/>
  <c r="BP137" i="47"/>
  <c r="HQ137" i="47"/>
  <c r="GP138" i="47"/>
  <c r="GQ139" i="47"/>
  <c r="BC133" i="47"/>
  <c r="HD134" i="47"/>
  <c r="BC134" i="47"/>
  <c r="EQ133" i="47"/>
  <c r="ED133" i="47"/>
  <c r="CD137" i="47"/>
  <c r="FQ136" i="47"/>
  <c r="CP137" i="47"/>
  <c r="CP138" i="47"/>
  <c r="FC133" i="47"/>
  <c r="AC133" i="47"/>
  <c r="JQ139" i="47"/>
  <c r="KP136" i="47"/>
  <c r="DD139" i="47"/>
  <c r="HO132" i="47"/>
  <c r="CO132" i="47"/>
  <c r="HO134" i="47"/>
  <c r="FB136" i="47"/>
  <c r="HB134" i="47"/>
  <c r="EB138" i="47"/>
  <c r="BO135" i="47"/>
  <c r="HB137" i="47"/>
  <c r="LB137" i="47"/>
  <c r="GB134" i="47"/>
  <c r="BB134" i="47"/>
  <c r="DO137" i="47"/>
  <c r="JB134" i="47"/>
  <c r="CP107" i="47"/>
  <c r="IC111" i="47"/>
  <c r="HC112" i="47"/>
  <c r="MC110" i="47"/>
  <c r="MC113" i="47"/>
  <c r="MF113" i="47" s="1"/>
  <c r="IC114" i="47"/>
  <c r="CC110" i="47"/>
  <c r="FC108" i="47"/>
  <c r="GP107" i="47"/>
  <c r="GQ107" i="47" s="1"/>
  <c r="FP111" i="47"/>
  <c r="DP111" i="47"/>
  <c r="DQ111" i="47" s="1"/>
  <c r="DR111" i="47" s="1"/>
  <c r="DC107" i="47"/>
  <c r="EP108" i="47"/>
  <c r="AP110" i="47"/>
  <c r="BC110" i="47"/>
  <c r="JP112" i="47"/>
  <c r="FC112" i="47"/>
  <c r="FF112" i="47" s="1"/>
  <c r="IQ137" i="47"/>
  <c r="JD133" i="47"/>
  <c r="CD133" i="47"/>
  <c r="JC132" i="47"/>
  <c r="LP137" i="47"/>
  <c r="IP137" i="47"/>
  <c r="FD137" i="47"/>
  <c r="LD136" i="47"/>
  <c r="DD136" i="47"/>
  <c r="FP134" i="47"/>
  <c r="IC134" i="47"/>
  <c r="AP132" i="47"/>
  <c r="DD138" i="47"/>
  <c r="GP139" i="47"/>
  <c r="JQ135" i="47"/>
  <c r="AQ133" i="47"/>
  <c r="EP138" i="47"/>
  <c r="KQ133" i="47"/>
  <c r="JC139" i="47"/>
  <c r="FC136" i="47"/>
  <c r="EC132" i="47"/>
  <c r="BP134" i="47"/>
  <c r="JC137" i="47"/>
  <c r="JP138" i="47"/>
  <c r="IQ135" i="47"/>
  <c r="KD136" i="47"/>
  <c r="IP138" i="47"/>
  <c r="DC139" i="47"/>
  <c r="JD139" i="47"/>
  <c r="AC134" i="47"/>
  <c r="MD134" i="47"/>
  <c r="DC133" i="47"/>
  <c r="AD134" i="47"/>
  <c r="MC133" i="47"/>
  <c r="JP139" i="47"/>
  <c r="KO132" i="47"/>
  <c r="EB135" i="47"/>
  <c r="DB135" i="47"/>
  <c r="LB132" i="47"/>
  <c r="BO138" i="47"/>
  <c r="FB133" i="47"/>
  <c r="MB135" i="47"/>
  <c r="JO138" i="47"/>
  <c r="CO135" i="47"/>
  <c r="LO137" i="47"/>
  <c r="BO139" i="47"/>
  <c r="HB132" i="47"/>
  <c r="JB135" i="47"/>
  <c r="O132" i="47"/>
  <c r="FB135" i="47"/>
  <c r="CO136" i="47"/>
  <c r="HP111" i="47"/>
  <c r="GC107" i="47"/>
  <c r="FC111" i="47"/>
  <c r="FD111" i="47" s="1"/>
  <c r="FE111" i="47" s="1"/>
  <c r="DC114" i="47"/>
  <c r="AC110" i="47"/>
  <c r="DC108" i="47"/>
  <c r="GC109" i="47"/>
  <c r="AC109" i="47"/>
  <c r="AF109" i="47" s="1"/>
  <c r="LP108" i="47"/>
  <c r="LS108" i="47" s="1"/>
  <c r="DP108" i="47"/>
  <c r="LP109" i="47"/>
  <c r="IC107" i="47"/>
  <c r="DP107" i="47"/>
  <c r="P112" i="47"/>
  <c r="IC112" i="47"/>
  <c r="IF112" i="47" s="1"/>
  <c r="CP110" i="47"/>
  <c r="FP110" i="47"/>
  <c r="HP136" i="47"/>
  <c r="EP134" i="47"/>
  <c r="DP139" i="47"/>
  <c r="HP133" i="47"/>
  <c r="EQ139" i="47"/>
  <c r="EC135" i="47"/>
  <c r="KP133" i="47"/>
  <c r="BC132" i="47"/>
  <c r="ID137" i="47"/>
  <c r="GD139" i="47"/>
  <c r="KC139" i="47"/>
  <c r="CP136" i="47"/>
  <c r="P136" i="47"/>
  <c r="EP139" i="47"/>
  <c r="BP136" i="47"/>
  <c r="KQ137" i="47"/>
  <c r="CD136" i="47"/>
  <c r="FD139" i="47"/>
  <c r="EP132" i="47"/>
  <c r="GC132" i="47"/>
  <c r="LC136" i="47"/>
  <c r="LD138" i="47"/>
  <c r="JD137" i="47"/>
  <c r="GC135" i="47"/>
  <c r="AP137" i="47"/>
  <c r="IQ134" i="47"/>
  <c r="AD133" i="47"/>
  <c r="GD134" i="47"/>
  <c r="LQ137" i="47"/>
  <c r="CQ134" i="47"/>
  <c r="KC138" i="47"/>
  <c r="GQ133" i="47"/>
  <c r="MC132" i="47"/>
  <c r="KD133" i="47"/>
  <c r="GQ137" i="47"/>
  <c r="HT119" i="47"/>
  <c r="FO137" i="47"/>
  <c r="AB135" i="47"/>
  <c r="DB132" i="47"/>
  <c r="DO133" i="47"/>
  <c r="IB133" i="47"/>
  <c r="HB139" i="47"/>
  <c r="LO134" i="47"/>
  <c r="EB136" i="47"/>
  <c r="O136" i="47"/>
  <c r="GO133" i="47"/>
  <c r="CB137" i="47"/>
  <c r="LC111" i="47"/>
  <c r="KC109" i="47"/>
  <c r="KP113" i="47"/>
  <c r="FC109" i="47"/>
  <c r="FF109" i="47" s="1"/>
  <c r="P110" i="47"/>
  <c r="S110" i="47" s="1"/>
  <c r="HC109" i="47"/>
  <c r="GC112" i="47"/>
  <c r="BP113" i="47"/>
  <c r="P109" i="47"/>
  <c r="S109" i="47" s="1"/>
  <c r="KP110" i="47"/>
  <c r="KQ110" i="47" s="1"/>
  <c r="KR110" i="47" s="1"/>
  <c r="BC113" i="47"/>
  <c r="BD113" i="47" s="1"/>
  <c r="BE113" i="47" s="1"/>
  <c r="JC109" i="47"/>
  <c r="GP114" i="47"/>
  <c r="KP107" i="47"/>
  <c r="GP109" i="47"/>
  <c r="DP112" i="47"/>
  <c r="DS112" i="47" s="1"/>
  <c r="AC111" i="47"/>
  <c r="AD111" i="47" s="1"/>
  <c r="AE111" i="47" s="1"/>
  <c r="JP133" i="47"/>
  <c r="IC136" i="47"/>
  <c r="ID138" i="47"/>
  <c r="ED136" i="47"/>
  <c r="GP132" i="47"/>
  <c r="CC135" i="47"/>
  <c r="KQ132" i="47"/>
  <c r="EC137" i="47"/>
  <c r="KC136" i="47"/>
  <c r="KD139" i="47"/>
  <c r="DD133" i="47"/>
  <c r="ED137" i="47"/>
  <c r="BP135" i="47"/>
  <c r="KQ138" i="47"/>
  <c r="IC133" i="47"/>
  <c r="P137" i="47"/>
  <c r="CD132" i="47"/>
  <c r="KD135" i="47"/>
  <c r="BP133" i="47"/>
  <c r="GP137" i="47"/>
  <c r="MC136" i="47"/>
  <c r="KD138" i="47"/>
  <c r="HD138" i="47"/>
  <c r="EC136" i="47"/>
  <c r="AC135" i="47"/>
  <c r="HQ138" i="47"/>
  <c r="GP134" i="47"/>
  <c r="HD139" i="47"/>
  <c r="LP138" i="47"/>
  <c r="LD137" i="47"/>
  <c r="MC137" i="47"/>
  <c r="FC139" i="47"/>
  <c r="FC138" i="47"/>
  <c r="BD136" i="47"/>
  <c r="CP135" i="47"/>
  <c r="JG117" i="47"/>
  <c r="JB142" i="47" s="1"/>
  <c r="KO136" i="47"/>
  <c r="O138" i="47"/>
  <c r="GO134" i="47"/>
  <c r="KB139" i="47"/>
  <c r="IB135" i="47"/>
  <c r="AB133" i="47"/>
  <c r="EO136" i="47"/>
  <c r="IB137" i="47"/>
  <c r="HB135" i="47"/>
  <c r="FB134" i="47"/>
  <c r="EB134" i="47"/>
  <c r="GB135" i="47"/>
  <c r="GB138" i="47"/>
  <c r="BB137" i="47"/>
  <c r="MB132" i="47"/>
  <c r="KC107" i="47"/>
  <c r="KD107" i="47" s="1"/>
  <c r="GP112" i="47"/>
  <c r="JP109" i="47"/>
  <c r="JQ109" i="47" s="1"/>
  <c r="JR109" i="47" s="1"/>
  <c r="DC109" i="47"/>
  <c r="AC112" i="47"/>
  <c r="FC110" i="47"/>
  <c r="JC108" i="47"/>
  <c r="JF108" i="47" s="1"/>
  <c r="JP107" i="47"/>
  <c r="JS107" i="47" s="1"/>
  <c r="DP114" i="47"/>
  <c r="DQ114" i="47" s="1"/>
  <c r="DR114" i="47" s="1"/>
  <c r="AP107" i="47"/>
  <c r="CC109" i="47"/>
  <c r="IP109" i="47"/>
  <c r="JC114" i="47"/>
  <c r="JF114" i="47" s="1"/>
  <c r="IP114" i="47"/>
  <c r="IS114" i="47" s="1"/>
  <c r="CP113" i="47"/>
  <c r="CQ113" i="47" s="1"/>
  <c r="CR113" i="47" s="1"/>
  <c r="BC109" i="47"/>
  <c r="BP110" i="47"/>
  <c r="FP137" i="47"/>
  <c r="BD137" i="47"/>
  <c r="KQ139" i="47"/>
  <c r="CC138" i="47"/>
  <c r="AD137" i="47"/>
  <c r="CC133" i="47"/>
  <c r="EC133" i="47"/>
  <c r="HC138" i="47"/>
  <c r="GC136" i="47"/>
  <c r="LQ134" i="47"/>
  <c r="GP135" i="47"/>
  <c r="CQ137" i="47"/>
  <c r="GC139" i="47"/>
  <c r="KC134" i="47"/>
  <c r="HP139" i="47"/>
  <c r="GC137" i="47"/>
  <c r="ED134" i="47"/>
  <c r="Q137" i="47"/>
  <c r="FQ134" i="47"/>
  <c r="CC132" i="47"/>
  <c r="LQ139" i="47"/>
  <c r="DQ133" i="47"/>
  <c r="MD132" i="47"/>
  <c r="KQ136" i="47"/>
  <c r="IP139" i="47"/>
  <c r="CP139" i="47"/>
  <c r="IC139" i="47"/>
  <c r="IP133" i="47"/>
  <c r="BD139" i="47"/>
  <c r="AQ132" i="47"/>
  <c r="FD134" i="47"/>
  <c r="KP132" i="47"/>
  <c r="DP138" i="47"/>
  <c r="KP135" i="47"/>
  <c r="EC139" i="47"/>
  <c r="IT116" i="47"/>
  <c r="IO133" i="47"/>
  <c r="BB139" i="47"/>
  <c r="FO133" i="47"/>
  <c r="EO139" i="47"/>
  <c r="JO136" i="47"/>
  <c r="MB133" i="47"/>
  <c r="DO139" i="47"/>
  <c r="DO134" i="47"/>
  <c r="BO136" i="47"/>
  <c r="LB136" i="47"/>
  <c r="EO135" i="47"/>
  <c r="CO133" i="47"/>
  <c r="EC112" i="47"/>
  <c r="CC114" i="47"/>
  <c r="CF114" i="47" s="1"/>
  <c r="IP107" i="47"/>
  <c r="IQ107" i="47" s="1"/>
  <c r="AP108" i="47"/>
  <c r="AQ108" i="47" s="1"/>
  <c r="AR108" i="47" s="1"/>
  <c r="BP109" i="47"/>
  <c r="EC114" i="47"/>
  <c r="CP114" i="47"/>
  <c r="FP109" i="47"/>
  <c r="FS109" i="47" s="1"/>
  <c r="CC113" i="47"/>
  <c r="CF113" i="47" s="1"/>
  <c r="CC108" i="47"/>
  <c r="CF108" i="47" s="1"/>
  <c r="LC113" i="47"/>
  <c r="P107" i="47"/>
  <c r="EC107" i="47"/>
  <c r="KC110" i="47"/>
  <c r="KF110" i="47" s="1"/>
  <c r="DP110" i="47"/>
  <c r="DQ110" i="47" s="1"/>
  <c r="DR110" i="47" s="1"/>
  <c r="IC108" i="47"/>
  <c r="IF108" i="47" s="1"/>
  <c r="HP114" i="47"/>
  <c r="HC107" i="47"/>
  <c r="AP139" i="47"/>
  <c r="ED132" i="47"/>
  <c r="LP134" i="47"/>
  <c r="DP134" i="47"/>
  <c r="CD134" i="47"/>
  <c r="KD132" i="47"/>
  <c r="HC134" i="47"/>
  <c r="DQ136" i="47"/>
  <c r="GC138" i="47"/>
  <c r="KP139" i="47"/>
  <c r="DP132" i="47"/>
  <c r="AP135" i="47"/>
  <c r="JC133" i="47"/>
  <c r="LC137" i="47"/>
  <c r="IC138" i="47"/>
  <c r="LQ138" i="47"/>
  <c r="BQ134" i="47"/>
  <c r="DQ138" i="47"/>
  <c r="LP132" i="47"/>
  <c r="CC139" i="47"/>
  <c r="CP133" i="47"/>
  <c r="LP135" i="47"/>
  <c r="FC135" i="47"/>
  <c r="AC136" i="47"/>
  <c r="KP137" i="47"/>
  <c r="FC134" i="47"/>
  <c r="HQ133" i="47"/>
  <c r="CP134" i="47"/>
  <c r="FD136" i="47"/>
  <c r="FD135" i="47"/>
  <c r="CC134" i="47"/>
  <c r="JQ132" i="47"/>
  <c r="AD136" i="47"/>
  <c r="BD133" i="47"/>
  <c r="EO132" i="47"/>
  <c r="CG119" i="47"/>
  <c r="AO135" i="47"/>
  <c r="IB134" i="47"/>
  <c r="AB136" i="47"/>
  <c r="JB133" i="47"/>
  <c r="IO139" i="47"/>
  <c r="MB136" i="47"/>
  <c r="KO138" i="47"/>
  <c r="KO134" i="47"/>
  <c r="GB133" i="47"/>
  <c r="CO134" i="47"/>
  <c r="KB134" i="47"/>
  <c r="O139" i="47"/>
  <c r="IB139" i="47"/>
  <c r="BT119" i="47"/>
  <c r="BO144" i="47" s="1"/>
  <c r="EG117" i="47"/>
  <c r="EB142" i="47" s="1"/>
  <c r="IT117" i="47"/>
  <c r="IO142" i="47" s="1"/>
  <c r="JT119" i="47"/>
  <c r="HT118" i="47"/>
  <c r="DG116" i="47"/>
  <c r="CT117" i="47"/>
  <c r="CO142" i="47" s="1"/>
  <c r="JT116" i="47"/>
  <c r="JO141" i="47" s="1"/>
  <c r="FT117" i="47"/>
  <c r="FO142" i="47" s="1"/>
  <c r="T119" i="47"/>
  <c r="HG116" i="47"/>
  <c r="LG119" i="47"/>
  <c r="LB144" i="47" s="1"/>
  <c r="IG118" i="47"/>
  <c r="IB143" i="47" s="1"/>
  <c r="IG116" i="47"/>
  <c r="IB141" i="47" s="1"/>
  <c r="LT118" i="47"/>
  <c r="LO143" i="47" s="1"/>
  <c r="T118" i="47"/>
  <c r="LT117" i="47"/>
  <c r="AG119" i="47"/>
  <c r="JT117" i="47"/>
  <c r="EG116" i="47"/>
  <c r="AG118" i="47"/>
  <c r="AB143" i="47" s="1"/>
  <c r="HT117" i="47"/>
  <c r="HG119" i="47"/>
  <c r="KG117" i="47"/>
  <c r="KB142" i="47" s="1"/>
  <c r="EG118" i="47"/>
  <c r="EB143" i="47" s="1"/>
  <c r="AT116" i="47"/>
  <c r="AO141" i="47" s="1"/>
  <c r="BT116" i="47"/>
  <c r="BO141" i="47" s="1"/>
  <c r="GG117" i="47"/>
  <c r="GG119" i="47"/>
  <c r="DG118" i="47"/>
  <c r="DT116" i="47"/>
  <c r="DO141" i="47" s="1"/>
  <c r="HT116" i="47"/>
  <c r="HO141" i="47" s="1"/>
  <c r="BG116" i="47"/>
  <c r="BB141" i="47" s="1"/>
  <c r="AG117" i="47"/>
  <c r="FG116" i="47"/>
  <c r="GT117" i="47"/>
  <c r="GO142" i="47" s="1"/>
  <c r="MG118" i="47"/>
  <c r="FT119" i="47"/>
  <c r="FO144" i="47" s="1"/>
  <c r="MG117" i="47"/>
  <c r="MB142" i="47" s="1"/>
  <c r="MG119" i="47"/>
  <c r="LT116" i="47"/>
  <c r="T116" i="47"/>
  <c r="FG117" i="47"/>
  <c r="GT118" i="47"/>
  <c r="GO143" i="47" s="1"/>
  <c r="DG119" i="47"/>
  <c r="DB144" i="47" s="1"/>
  <c r="T117" i="47"/>
  <c r="FT118" i="47"/>
  <c r="FG119" i="47"/>
  <c r="FB144" i="47" s="1"/>
  <c r="CG117" i="47"/>
  <c r="CB142" i="47" s="1"/>
  <c r="LT119" i="47"/>
  <c r="KG119" i="47"/>
  <c r="KB144" i="47" s="1"/>
  <c r="JG119" i="47"/>
  <c r="BB132" i="47"/>
  <c r="IB132" i="47"/>
  <c r="AT119" i="47"/>
  <c r="AO144" i="47" s="1"/>
  <c r="GG116" i="47"/>
  <c r="GB141" i="47" s="1"/>
  <c r="EG119" i="47"/>
  <c r="EB144" i="47" s="1"/>
  <c r="AG116" i="47"/>
  <c r="ET118" i="47"/>
  <c r="BT118" i="47"/>
  <c r="BO143" i="47" s="1"/>
  <c r="LG117" i="47"/>
  <c r="LB142" i="47" s="1"/>
  <c r="AT118" i="47"/>
  <c r="AO143" i="47" s="1"/>
  <c r="AT117" i="47"/>
  <c r="AO142" i="47" s="1"/>
  <c r="IG119" i="47"/>
  <c r="JG118" i="47"/>
  <c r="CT119" i="47"/>
  <c r="BG117" i="47"/>
  <c r="BB142" i="47" s="1"/>
  <c r="LG118" i="47"/>
  <c r="LB143" i="47" s="1"/>
  <c r="KG116" i="47"/>
  <c r="KB141" i="47" s="1"/>
  <c r="KT119" i="47"/>
  <c r="BG119" i="47"/>
  <c r="GG118" i="47"/>
  <c r="GB143" i="47" s="1"/>
  <c r="GO136" i="47"/>
  <c r="LG116" i="47"/>
  <c r="LB141" i="47" s="1"/>
  <c r="KT116" i="47"/>
  <c r="KO141" i="47" s="1"/>
  <c r="CG118" i="47"/>
  <c r="KG118" i="47"/>
  <c r="ET116" i="47"/>
  <c r="IT119" i="47"/>
  <c r="IO144" i="47" s="1"/>
  <c r="FT116" i="47"/>
  <c r="FO141" i="47" s="1"/>
  <c r="MG116" i="47"/>
  <c r="MB141" i="47" s="1"/>
  <c r="DT118" i="47"/>
  <c r="CT118" i="47"/>
  <c r="GT116" i="47"/>
  <c r="GO141" i="47" s="1"/>
  <c r="KT117" i="47"/>
  <c r="JT118" i="47"/>
  <c r="JO143" i="47" s="1"/>
  <c r="ET119" i="47"/>
  <c r="EO144" i="47" s="1"/>
  <c r="HG118" i="47"/>
  <c r="DT117" i="47"/>
  <c r="BT117" i="47"/>
  <c r="ET117" i="47"/>
  <c r="KB135" i="47"/>
  <c r="IG117" i="47"/>
  <c r="IB142" i="47" s="1"/>
  <c r="IT118" i="47"/>
  <c r="IO143" i="47" s="1"/>
  <c r="HG117" i="47"/>
  <c r="HB142" i="47" s="1"/>
  <c r="CT116" i="47"/>
  <c r="CO141" i="47" s="1"/>
  <c r="KT118" i="47"/>
  <c r="KO143" i="47" s="1"/>
  <c r="GT119" i="47"/>
  <c r="GO144" i="47" s="1"/>
  <c r="DG117" i="47"/>
  <c r="DB142" i="47" s="1"/>
  <c r="BG118" i="47"/>
  <c r="BB143" i="47" s="1"/>
  <c r="O135" i="47"/>
  <c r="LO133" i="47"/>
  <c r="AO139" i="47"/>
  <c r="DB136" i="47"/>
  <c r="AO136" i="47"/>
  <c r="JO132" i="47"/>
  <c r="AO134" i="47"/>
  <c r="JO137" i="47"/>
  <c r="JB136" i="47"/>
  <c r="DO138" i="47"/>
  <c r="BB138" i="47"/>
  <c r="JB139" i="47"/>
  <c r="EO137" i="47"/>
  <c r="LB138" i="47"/>
  <c r="HB133" i="47"/>
  <c r="FO136" i="47"/>
  <c r="MB134" i="47"/>
  <c r="LB135" i="47"/>
  <c r="JO133" i="47"/>
  <c r="KB133" i="47"/>
  <c r="AB138" i="47"/>
  <c r="LO139" i="47"/>
  <c r="JB138" i="47"/>
  <c r="GB137" i="47"/>
  <c r="EO133" i="47"/>
  <c r="HO137" i="47"/>
  <c r="EB133" i="47"/>
  <c r="FB138" i="47"/>
  <c r="DB134" i="47"/>
  <c r="GO139" i="47"/>
  <c r="P144" i="47"/>
  <c r="AP144" i="47"/>
  <c r="KQ142" i="47"/>
  <c r="ED144" i="47"/>
  <c r="HD144" i="47"/>
  <c r="KC143" i="47"/>
  <c r="JC144" i="47"/>
  <c r="ID144" i="47"/>
  <c r="ID141" i="47"/>
  <c r="CQ144" i="47"/>
  <c r="AC142" i="47"/>
  <c r="CC144" i="47"/>
  <c r="CQ141" i="47"/>
  <c r="BQ142" i="47"/>
  <c r="EC142" i="47"/>
  <c r="FC141" i="47"/>
  <c r="FP142" i="47"/>
  <c r="AQ144" i="47"/>
  <c r="EQ143" i="47"/>
  <c r="BC141" i="47"/>
  <c r="DD143" i="47"/>
  <c r="KP142" i="47"/>
  <c r="FQ143" i="47"/>
  <c r="GP143" i="47"/>
  <c r="LQ144" i="47"/>
  <c r="GQ144" i="47"/>
  <c r="MD143" i="47"/>
  <c r="DQ143" i="47"/>
  <c r="DQ144" i="47"/>
  <c r="DC141" i="47"/>
  <c r="JQ142" i="47"/>
  <c r="JP142" i="47"/>
  <c r="FQ142" i="47"/>
  <c r="IP144" i="47"/>
  <c r="IC144" i="47"/>
  <c r="LQ143" i="47"/>
  <c r="GP141" i="47"/>
  <c r="IC143" i="47"/>
  <c r="ED142" i="47"/>
  <c r="GP144" i="47"/>
  <c r="LP143" i="47"/>
  <c r="DD144" i="47"/>
  <c r="BC144" i="47"/>
  <c r="JP141" i="47"/>
  <c r="MD141" i="47"/>
  <c r="GQ141" i="47"/>
  <c r="FP144" i="47"/>
  <c r="HP142" i="47"/>
  <c r="MC143" i="47"/>
  <c r="FC144" i="47"/>
  <c r="LC143" i="47"/>
  <c r="JD144" i="47"/>
  <c r="HC141" i="47"/>
  <c r="BQ144" i="47"/>
  <c r="LQ142" i="47"/>
  <c r="HQ144" i="47"/>
  <c r="LC141" i="47"/>
  <c r="KD141" i="47"/>
  <c r="DD142" i="47"/>
  <c r="GD143" i="47"/>
  <c r="JC142" i="47"/>
  <c r="KC144" i="47"/>
  <c r="FP143" i="47"/>
  <c r="ID142" i="47"/>
  <c r="LD141" i="47"/>
  <c r="GC142" i="47"/>
  <c r="GD142" i="47"/>
  <c r="P143" i="47"/>
  <c r="AP143" i="47"/>
  <c r="AD143" i="47"/>
  <c r="KC142" i="47"/>
  <c r="LC142" i="47"/>
  <c r="JQ141" i="47"/>
  <c r="GD144" i="47"/>
  <c r="KD142" i="47"/>
  <c r="HQ142" i="47"/>
  <c r="JD141" i="47"/>
  <c r="HD141" i="47"/>
  <c r="FC143" i="47"/>
  <c r="JC141" i="47"/>
  <c r="HD142" i="47"/>
  <c r="CC142" i="47"/>
  <c r="P142" i="47"/>
  <c r="DP144" i="47"/>
  <c r="KP141" i="47"/>
  <c r="CD144" i="47"/>
  <c r="DD141" i="47"/>
  <c r="EP144" i="47"/>
  <c r="KP143" i="47"/>
  <c r="BC143" i="47"/>
  <c r="Q141" i="47"/>
  <c r="LP144" i="47"/>
  <c r="BC142" i="47"/>
  <c r="GC144" i="47"/>
  <c r="IQ144" i="47"/>
  <c r="JD143" i="47"/>
  <c r="AQ141" i="47"/>
  <c r="MD144" i="47"/>
  <c r="IC142" i="47"/>
  <c r="HQ141" i="47"/>
  <c r="DC144" i="47"/>
  <c r="FD141" i="47"/>
  <c r="KQ143" i="47"/>
  <c r="JP144" i="47"/>
  <c r="HD143" i="47"/>
  <c r="EC141" i="47"/>
  <c r="Q143" i="47"/>
  <c r="P141" i="47"/>
  <c r="Q142" i="47"/>
  <c r="IP143" i="47"/>
  <c r="FD144" i="47"/>
  <c r="KD144" i="47"/>
  <c r="BD141" i="47"/>
  <c r="AP142" i="47"/>
  <c r="CP144" i="47"/>
  <c r="LD144" i="47"/>
  <c r="EQ142" i="47"/>
  <c r="EP142" i="47"/>
  <c r="MC144" i="47"/>
  <c r="JC143" i="47"/>
  <c r="FD142" i="47"/>
  <c r="ED141" i="47"/>
  <c r="CD142" i="47"/>
  <c r="HC143" i="47"/>
  <c r="DP143" i="47"/>
  <c r="HP141" i="47"/>
  <c r="BP142" i="47"/>
  <c r="EQ141" i="47"/>
  <c r="BP144" i="47"/>
  <c r="CP143" i="47"/>
  <c r="EQ144" i="47"/>
  <c r="DC142" i="47"/>
  <c r="MD142" i="47"/>
  <c r="KQ141" i="47"/>
  <c r="BP143" i="47"/>
  <c r="DP141" i="47"/>
  <c r="FQ141" i="47"/>
  <c r="BD144" i="47"/>
  <c r="ED143" i="47"/>
  <c r="AQ143" i="47"/>
  <c r="IP142" i="47"/>
  <c r="KP144" i="47"/>
  <c r="BD142" i="47"/>
  <c r="FQ144" i="47"/>
  <c r="AC143" i="47"/>
  <c r="HP143" i="47"/>
  <c r="CP141" i="47"/>
  <c r="JQ143" i="47"/>
  <c r="CD141" i="47"/>
  <c r="KD143" i="47"/>
  <c r="CD143" i="47"/>
  <c r="HC144" i="47"/>
  <c r="LP142" i="47"/>
  <c r="DP142" i="47"/>
  <c r="AQ142" i="47"/>
  <c r="BD143" i="47"/>
  <c r="IC141" i="47"/>
  <c r="LD142" i="47"/>
  <c r="CC141" i="47"/>
  <c r="IQ141" i="47"/>
  <c r="GD141" i="47"/>
  <c r="KQ144" i="47"/>
  <c r="JQ144" i="47"/>
  <c r="DC143" i="47"/>
  <c r="AC141" i="47"/>
  <c r="ID143" i="47"/>
  <c r="FC142" i="47"/>
  <c r="EC144" i="47"/>
  <c r="IQ143" i="47"/>
  <c r="AD144" i="47"/>
  <c r="GQ142" i="47"/>
  <c r="IQ142" i="47"/>
  <c r="EP141" i="47"/>
  <c r="MC142" i="47"/>
  <c r="CQ143" i="47"/>
  <c r="GC141" i="47"/>
  <c r="BQ143" i="47"/>
  <c r="FD143" i="47"/>
  <c r="HC142" i="47"/>
  <c r="LD143" i="47"/>
  <c r="JD142" i="47"/>
  <c r="Q144" i="47"/>
  <c r="EC143" i="47"/>
  <c r="AC144" i="47"/>
  <c r="LQ141" i="47"/>
  <c r="GC143" i="47"/>
  <c r="LC144" i="47"/>
  <c r="EP143" i="47"/>
  <c r="GP142" i="47"/>
  <c r="BP141" i="47"/>
  <c r="BQ141" i="47"/>
  <c r="DQ142" i="47"/>
  <c r="CC143" i="47"/>
  <c r="FP141" i="47"/>
  <c r="HP144" i="47"/>
  <c r="CQ142" i="47"/>
  <c r="IP141" i="47"/>
  <c r="DQ141" i="47"/>
  <c r="GQ143" i="47"/>
  <c r="MC141" i="47"/>
  <c r="JP143" i="47"/>
  <c r="LP141" i="47"/>
  <c r="KC141" i="47"/>
  <c r="HQ143" i="47"/>
  <c r="CP142" i="47"/>
  <c r="AP141" i="47"/>
  <c r="AD141" i="47"/>
  <c r="AD142" i="47"/>
  <c r="D126" i="47"/>
  <c r="AG126" i="47"/>
  <c r="FG126" i="47"/>
  <c r="HT126" i="47"/>
  <c r="DT126" i="47"/>
  <c r="GT126" i="47"/>
  <c r="GG126" i="47"/>
  <c r="HG126" i="47"/>
  <c r="T126" i="47"/>
  <c r="JT126" i="47"/>
  <c r="LT126" i="47"/>
  <c r="JG126" i="47"/>
  <c r="IT126" i="47"/>
  <c r="EG126" i="47"/>
  <c r="ET126" i="47"/>
  <c r="DG126" i="47"/>
  <c r="BT126" i="47"/>
  <c r="MG126" i="47"/>
  <c r="FT126" i="47"/>
  <c r="IG126" i="47"/>
  <c r="CT126" i="47"/>
  <c r="CG126" i="47"/>
  <c r="AT126" i="47"/>
  <c r="BG126" i="47"/>
  <c r="KG126" i="47"/>
  <c r="LG126" i="47"/>
  <c r="KT126" i="47"/>
  <c r="C121" i="28"/>
  <c r="B121" i="28" s="1"/>
  <c r="C121" i="47"/>
  <c r="D145" i="48"/>
  <c r="L88" i="33"/>
  <c r="HO144" i="47"/>
  <c r="IO141" i="47"/>
  <c r="CB144" i="47"/>
  <c r="CB141" i="47"/>
  <c r="FB143" i="47"/>
  <c r="O144" i="47"/>
  <c r="LO142" i="47"/>
  <c r="AB144" i="47"/>
  <c r="JO142" i="47"/>
  <c r="EB141" i="47"/>
  <c r="HO142" i="47"/>
  <c r="GB142" i="47"/>
  <c r="FB141" i="47"/>
  <c r="MB143" i="47"/>
  <c r="O142" i="47"/>
  <c r="FO143" i="47"/>
  <c r="IB144" i="47"/>
  <c r="JB143" i="47"/>
  <c r="CO144" i="47"/>
  <c r="CB143" i="47"/>
  <c r="KB143" i="47"/>
  <c r="CO143" i="47"/>
  <c r="KO142" i="47"/>
  <c r="LO144" i="47"/>
  <c r="HB144" i="47"/>
  <c r="GB144" i="47"/>
  <c r="DB143" i="47"/>
  <c r="AB142" i="47"/>
  <c r="MB144" i="47"/>
  <c r="LO141" i="47"/>
  <c r="O141" i="47"/>
  <c r="FB142" i="47"/>
  <c r="AB141" i="47"/>
  <c r="EO143" i="47"/>
  <c r="KO144" i="47"/>
  <c r="BB144" i="47"/>
  <c r="EO141" i="47"/>
  <c r="HB143" i="47"/>
  <c r="DO142" i="47"/>
  <c r="JO144" i="47"/>
  <c r="HO143" i="47"/>
  <c r="DB141" i="47"/>
  <c r="HB141" i="47"/>
  <c r="O143" i="47"/>
  <c r="DO143" i="47"/>
  <c r="D124" i="47"/>
  <c r="BO142" i="47"/>
  <c r="LN132" i="47"/>
  <c r="HY133" i="47"/>
  <c r="LY132" i="47"/>
  <c r="ER147" i="47"/>
  <c r="JA133" i="47"/>
  <c r="GF147" i="47"/>
  <c r="BE147" i="47"/>
  <c r="IY133" i="47"/>
  <c r="LE147" i="47"/>
  <c r="N133" i="47"/>
  <c r="DY133" i="47"/>
  <c r="JN132" i="47"/>
  <c r="KN133" i="47"/>
  <c r="FA132" i="47"/>
  <c r="IA133" i="47"/>
  <c r="Y132" i="47"/>
  <c r="GR147" i="47"/>
  <c r="ME146" i="47"/>
  <c r="CN133" i="47"/>
  <c r="BL133" i="47"/>
  <c r="EY133" i="47"/>
  <c r="JY132" i="47"/>
  <c r="HS146" i="47"/>
  <c r="DN132" i="47"/>
  <c r="CY133" i="47"/>
  <c r="ME147" i="47"/>
  <c r="DE146" i="47"/>
  <c r="IY132" i="47"/>
  <c r="AY133" i="47"/>
  <c r="AR147" i="47"/>
  <c r="ES146" i="47"/>
  <c r="EF147" i="47"/>
  <c r="FR147" i="47"/>
  <c r="LL133" i="47"/>
  <c r="LN133" i="47"/>
  <c r="KL132" i="47"/>
  <c r="BR147" i="47"/>
  <c r="FR146" i="47"/>
  <c r="BR146" i="47"/>
  <c r="AN132" i="47"/>
  <c r="LR147" i="47"/>
  <c r="IF146" i="47"/>
  <c r="FA133" i="47"/>
  <c r="CL133" i="47"/>
  <c r="DE147" i="47"/>
  <c r="R146" i="47"/>
  <c r="HN132" i="47"/>
  <c r="JL133" i="47"/>
  <c r="FY132" i="47"/>
  <c r="AY132" i="47"/>
  <c r="HR146" i="47"/>
  <c r="GL132" i="47"/>
  <c r="DS146" i="47"/>
  <c r="CL132" i="47"/>
  <c r="LL132" i="47"/>
  <c r="FY133" i="47"/>
  <c r="LE146" i="47"/>
  <c r="LA133" i="47"/>
  <c r="JN133" i="47"/>
  <c r="AF147" i="47"/>
  <c r="AR146" i="47"/>
  <c r="BY133" i="47"/>
  <c r="R147" i="47"/>
  <c r="BE146" i="47"/>
  <c r="JL132" i="47"/>
  <c r="DF146" i="47"/>
  <c r="GY132" i="47"/>
  <c r="IR147" i="47"/>
  <c r="EE146" i="47"/>
  <c r="IE146" i="47"/>
  <c r="EA132" i="47"/>
  <c r="AS147" i="47"/>
  <c r="EN132" i="47"/>
  <c r="DR147" i="47"/>
  <c r="IS146" i="47"/>
  <c r="JS147" i="47"/>
  <c r="LS147" i="47"/>
  <c r="CN132" i="47"/>
  <c r="AF146" i="47"/>
  <c r="FE146" i="47"/>
  <c r="JR146" i="47"/>
  <c r="KA133" i="47"/>
  <c r="GN132" i="47"/>
  <c r="ER146" i="47"/>
  <c r="DL132" i="47"/>
  <c r="DN133" i="47"/>
  <c r="HL132" i="47"/>
  <c r="HN133" i="47"/>
  <c r="DA133" i="47"/>
  <c r="S147" i="47"/>
  <c r="FF147" i="47"/>
  <c r="BL132" i="47"/>
  <c r="L132" i="47"/>
  <c r="DA132" i="47"/>
  <c r="HY132" i="47"/>
  <c r="MA133" i="47"/>
  <c r="L133" i="47"/>
  <c r="IL133" i="47"/>
  <c r="CY132" i="47"/>
  <c r="KS146" i="47"/>
  <c r="BS147" i="47"/>
  <c r="JS146" i="47"/>
  <c r="IL132" i="47"/>
  <c r="BF146" i="47"/>
  <c r="KF146" i="47"/>
  <c r="S146" i="47"/>
  <c r="IE147" i="47"/>
  <c r="LR146" i="47"/>
  <c r="KR146" i="47"/>
  <c r="LA132" i="47"/>
  <c r="EF146" i="47"/>
  <c r="KF147" i="47"/>
  <c r="LF147" i="47"/>
  <c r="MF147" i="47"/>
  <c r="CR146" i="47"/>
  <c r="ES147" i="47"/>
  <c r="FF146" i="47"/>
  <c r="KN132" i="47"/>
  <c r="HE147" i="47"/>
  <c r="BN132" i="47"/>
  <c r="DS147" i="47"/>
  <c r="EN133" i="47"/>
  <c r="FS147" i="47"/>
  <c r="JA132" i="47"/>
  <c r="FN132" i="47"/>
  <c r="HA133" i="47"/>
  <c r="EY132" i="47"/>
  <c r="AL133" i="47"/>
  <c r="LF146" i="47"/>
  <c r="CS147" i="47"/>
  <c r="KS147" i="47"/>
  <c r="GN133" i="47"/>
  <c r="GF146" i="47"/>
  <c r="AA132" i="47"/>
  <c r="IN132" i="47"/>
  <c r="HR147" i="47"/>
  <c r="GA133" i="47"/>
  <c r="JF147" i="47"/>
  <c r="AS146" i="47"/>
  <c r="IR146" i="47"/>
  <c r="CE146" i="47"/>
  <c r="CF147" i="47"/>
  <c r="AN133" i="47"/>
  <c r="JY133" i="47"/>
  <c r="IA132" i="47"/>
  <c r="AE147" i="47"/>
  <c r="KY132" i="47"/>
  <c r="DY132" i="47"/>
  <c r="FL133" i="47"/>
  <c r="BA132" i="47"/>
  <c r="LS146" i="47"/>
  <c r="Y133" i="47"/>
  <c r="EE147" i="47"/>
  <c r="JR147" i="47"/>
  <c r="HL133" i="47"/>
  <c r="GL133" i="47"/>
  <c r="FN133" i="47"/>
  <c r="IS147" i="47"/>
  <c r="LY133" i="47"/>
  <c r="GE147" i="47"/>
  <c r="DF147" i="47"/>
  <c r="CA132" i="47"/>
  <c r="GY133" i="47"/>
  <c r="MA132" i="47"/>
  <c r="JE146" i="47"/>
  <c r="AE146" i="47"/>
  <c r="KL133" i="47"/>
  <c r="HE146" i="47"/>
  <c r="IF147" i="47"/>
  <c r="CR147" i="47"/>
  <c r="CE147" i="47"/>
  <c r="EA133" i="47"/>
  <c r="BA133" i="47"/>
  <c r="FL132" i="47"/>
  <c r="KE146" i="47"/>
  <c r="KY133" i="47"/>
  <c r="CF146" i="47"/>
  <c r="FS146" i="47"/>
  <c r="GA132" i="47"/>
  <c r="GR146" i="47"/>
  <c r="N132" i="47"/>
  <c r="MF146" i="47"/>
  <c r="GS146" i="47"/>
  <c r="BF147" i="47"/>
  <c r="EL132" i="47"/>
  <c r="GE146" i="47"/>
  <c r="BY132" i="47"/>
  <c r="KR147" i="47"/>
  <c r="AA133" i="47"/>
  <c r="HF147" i="47"/>
  <c r="DR146" i="47"/>
  <c r="EL133" i="47"/>
  <c r="KE147" i="47"/>
  <c r="CS146" i="47"/>
  <c r="HA132" i="47"/>
  <c r="FE147" i="47"/>
  <c r="HS147" i="47"/>
  <c r="HF146" i="47"/>
  <c r="AL132" i="47"/>
  <c r="JF146" i="47"/>
  <c r="BN133" i="47"/>
  <c r="CA133" i="47"/>
  <c r="DL133" i="47"/>
  <c r="GS147" i="47"/>
  <c r="KA132" i="47"/>
  <c r="JE147" i="47"/>
  <c r="BS146" i="47"/>
  <c r="IN133" i="47"/>
  <c r="FF110" i="47"/>
  <c r="FD110" i="47"/>
  <c r="FE110" i="47" s="1"/>
  <c r="ED112" i="47"/>
  <c r="EE112" i="47" s="1"/>
  <c r="EF112" i="47"/>
  <c r="BS109" i="47"/>
  <c r="BQ109" i="47"/>
  <c r="BR109" i="47" s="1"/>
  <c r="ED114" i="47"/>
  <c r="EE114" i="47" s="1"/>
  <c r="EF114" i="47"/>
  <c r="CS114" i="47"/>
  <c r="CQ114" i="47"/>
  <c r="CR114" i="47" s="1"/>
  <c r="FQ109" i="47"/>
  <c r="FR109" i="47" s="1"/>
  <c r="LD113" i="47"/>
  <c r="LE113" i="47" s="1"/>
  <c r="LF113" i="47"/>
  <c r="S107" i="47"/>
  <c r="Q107" i="47"/>
  <c r="ED107" i="47"/>
  <c r="EF107" i="47"/>
  <c r="HQ114" i="47"/>
  <c r="HR114" i="47" s="1"/>
  <c r="HS114" i="47"/>
  <c r="HD107" i="47"/>
  <c r="HF107" i="47"/>
  <c r="AS107" i="47"/>
  <c r="AQ107" i="47"/>
  <c r="JS113" i="47"/>
  <c r="JQ113" i="47"/>
  <c r="JR113" i="47" s="1"/>
  <c r="JQ111" i="47"/>
  <c r="JR111" i="47" s="1"/>
  <c r="JS111" i="47"/>
  <c r="MF112" i="47"/>
  <c r="DD111" i="47"/>
  <c r="DE111" i="47" s="1"/>
  <c r="DF111" i="47"/>
  <c r="JD110" i="47"/>
  <c r="JE110" i="47" s="1"/>
  <c r="JF110" i="47"/>
  <c r="BS112" i="47"/>
  <c r="BQ112" i="47"/>
  <c r="BR112" i="47" s="1"/>
  <c r="LQ112" i="47"/>
  <c r="LR112" i="47" s="1"/>
  <c r="LS112" i="47"/>
  <c r="BS107" i="47"/>
  <c r="BQ107" i="47"/>
  <c r="ED108" i="47"/>
  <c r="EE108" i="47" s="1"/>
  <c r="EF108" i="47"/>
  <c r="KD108" i="47"/>
  <c r="KE108" i="47" s="1"/>
  <c r="KF108" i="47"/>
  <c r="MF109" i="47"/>
  <c r="MD109" i="47"/>
  <c r="ME109" i="47" s="1"/>
  <c r="ES113" i="47"/>
  <c r="EQ113" i="47"/>
  <c r="ER113" i="47" s="1"/>
  <c r="CF112" i="47"/>
  <c r="CD112" i="47"/>
  <c r="CE112" i="47" s="1"/>
  <c r="GD110" i="47"/>
  <c r="GE110" i="47" s="1"/>
  <c r="GF110" i="47"/>
  <c r="CQ108" i="47"/>
  <c r="CR108" i="47" s="1"/>
  <c r="CS108" i="47"/>
  <c r="BD108" i="47"/>
  <c r="BE108" i="47" s="1"/>
  <c r="BF108" i="47"/>
  <c r="HD111" i="47"/>
  <c r="HE111" i="47" s="1"/>
  <c r="HF111" i="47"/>
  <c r="FS108" i="47"/>
  <c r="FQ108" i="47"/>
  <c r="FR108" i="47" s="1"/>
  <c r="DF109" i="47"/>
  <c r="DD109" i="47"/>
  <c r="DE109" i="47" s="1"/>
  <c r="IQ109" i="47"/>
  <c r="IR109" i="47" s="1"/>
  <c r="IS109" i="47"/>
  <c r="BD114" i="47"/>
  <c r="BE114" i="47" s="1"/>
  <c r="BF114" i="47"/>
  <c r="MD111" i="47"/>
  <c r="ME111" i="47" s="1"/>
  <c r="MF111" i="47"/>
  <c r="MF108" i="47"/>
  <c r="MD108" i="47"/>
  <c r="ME108" i="47" s="1"/>
  <c r="HS107" i="47"/>
  <c r="HQ107" i="47"/>
  <c r="IQ110" i="47"/>
  <c r="IR110" i="47" s="1"/>
  <c r="IS110" i="47"/>
  <c r="BD107" i="47"/>
  <c r="BF107" i="47"/>
  <c r="LF110" i="47"/>
  <c r="LD110" i="47"/>
  <c r="LE110" i="47" s="1"/>
  <c r="DQ113" i="47"/>
  <c r="DR113" i="47" s="1"/>
  <c r="DS113" i="47"/>
  <c r="HQ108" i="47"/>
  <c r="HR108" i="47" s="1"/>
  <c r="HS108" i="47"/>
  <c r="BF111" i="47"/>
  <c r="BD111" i="47"/>
  <c r="BE111" i="47" s="1"/>
  <c r="GF114" i="47"/>
  <c r="GD114" i="47"/>
  <c r="GE114" i="47" s="1"/>
  <c r="EF110" i="47"/>
  <c r="ED110" i="47"/>
  <c r="EE110" i="47" s="1"/>
  <c r="CS111" i="47"/>
  <c r="CQ111" i="47"/>
  <c r="CR111" i="47" s="1"/>
  <c r="KS108" i="47"/>
  <c r="KQ108" i="47"/>
  <c r="KR108" i="47" s="1"/>
  <c r="JF111" i="47"/>
  <c r="JD111" i="47"/>
  <c r="JE111" i="47" s="1"/>
  <c r="ES111" i="47"/>
  <c r="EQ111" i="47"/>
  <c r="ER111" i="47" s="1"/>
  <c r="DS109" i="47"/>
  <c r="DQ109" i="47"/>
  <c r="DR109" i="47" s="1"/>
  <c r="BF109" i="47"/>
  <c r="BD109" i="47"/>
  <c r="BE109" i="47" s="1"/>
  <c r="FS112" i="47"/>
  <c r="FQ112" i="47"/>
  <c r="FR112" i="47" s="1"/>
  <c r="FD107" i="47"/>
  <c r="FF107" i="47"/>
  <c r="JF107" i="47"/>
  <c r="JD107" i="47"/>
  <c r="HF114" i="47"/>
  <c r="HD114" i="47"/>
  <c r="HE114" i="47" s="1"/>
  <c r="ES114" i="47"/>
  <c r="EQ114" i="47"/>
  <c r="ER114" i="47" s="1"/>
  <c r="HD110" i="47"/>
  <c r="HE110" i="47" s="1"/>
  <c r="HQ113" i="47"/>
  <c r="HR113" i="47" s="1"/>
  <c r="HS113" i="47"/>
  <c r="HD108" i="47"/>
  <c r="HE108" i="47" s="1"/>
  <c r="HF108" i="47"/>
  <c r="AF108" i="47"/>
  <c r="AD108" i="47"/>
  <c r="AE108" i="47" s="1"/>
  <c r="S113" i="47"/>
  <c r="Q113" i="47"/>
  <c r="R113" i="47" s="1"/>
  <c r="AS112" i="47"/>
  <c r="AQ112" i="47"/>
  <c r="AR112" i="47" s="1"/>
  <c r="FD114" i="47"/>
  <c r="FE114" i="47" s="1"/>
  <c r="FF114" i="47"/>
  <c r="GD113" i="47"/>
  <c r="GE113" i="47" s="1"/>
  <c r="GF113" i="47"/>
  <c r="AD114" i="47"/>
  <c r="AE114" i="47" s="1"/>
  <c r="AF114" i="47"/>
  <c r="Q111" i="47"/>
  <c r="R111" i="47" s="1"/>
  <c r="S111" i="47"/>
  <c r="JB144" i="47"/>
  <c r="DS114" i="47"/>
  <c r="BS110" i="47"/>
  <c r="BQ110" i="47"/>
  <c r="BR110" i="47" s="1"/>
  <c r="LS111" i="47"/>
  <c r="LQ111" i="47"/>
  <c r="LR111" i="47" s="1"/>
  <c r="MF114" i="47"/>
  <c r="MD114" i="47"/>
  <c r="ME114" i="47" s="1"/>
  <c r="HQ112" i="47"/>
  <c r="HR112" i="47" s="1"/>
  <c r="HS112" i="47"/>
  <c r="IF109" i="47"/>
  <c r="ID109" i="47"/>
  <c r="IE109" i="47" s="1"/>
  <c r="LD112" i="47"/>
  <c r="LE112" i="47" s="1"/>
  <c r="LF112" i="47"/>
  <c r="IS108" i="47"/>
  <c r="IQ108" i="47"/>
  <c r="IR108" i="47" s="1"/>
  <c r="AS111" i="47"/>
  <c r="AQ111" i="47"/>
  <c r="AR111" i="47" s="1"/>
  <c r="IS111" i="47"/>
  <c r="IQ111" i="47"/>
  <c r="IR111" i="47" s="1"/>
  <c r="ES110" i="47"/>
  <c r="EQ110" i="47"/>
  <c r="ER110" i="47" s="1"/>
  <c r="KQ111" i="47"/>
  <c r="KR111" i="47" s="1"/>
  <c r="KS111" i="47"/>
  <c r="AQ114" i="47"/>
  <c r="AR114" i="47" s="1"/>
  <c r="AS114" i="47"/>
  <c r="GQ111" i="47"/>
  <c r="GR111" i="47" s="1"/>
  <c r="GS111" i="47"/>
  <c r="LD114" i="47"/>
  <c r="LE114" i="47" s="1"/>
  <c r="LF114" i="47"/>
  <c r="CQ112" i="47"/>
  <c r="CR112" i="47" s="1"/>
  <c r="CS112" i="47"/>
  <c r="KS114" i="47"/>
  <c r="KQ114" i="47"/>
  <c r="KR114" i="47" s="1"/>
  <c r="CQ109" i="47"/>
  <c r="CR109" i="47" s="1"/>
  <c r="CS109" i="47"/>
  <c r="BQ108" i="47"/>
  <c r="BR108" i="47" s="1"/>
  <c r="BS108" i="47"/>
  <c r="ES112" i="47"/>
  <c r="EQ112" i="47"/>
  <c r="ER112" i="47" s="1"/>
  <c r="GQ113" i="47"/>
  <c r="GR113" i="47" s="1"/>
  <c r="GS113" i="47"/>
  <c r="KD111" i="47"/>
  <c r="KE111" i="47" s="1"/>
  <c r="KF111" i="47"/>
  <c r="DD112" i="47"/>
  <c r="DE112" i="47" s="1"/>
  <c r="DF112" i="47"/>
  <c r="FQ107" i="47"/>
  <c r="GF108" i="47"/>
  <c r="GD108" i="47"/>
  <c r="GE108" i="47" s="1"/>
  <c r="EF109" i="47"/>
  <c r="ED109" i="47"/>
  <c r="EE109" i="47" s="1"/>
  <c r="IF110" i="47"/>
  <c r="ID110" i="47"/>
  <c r="IE110" i="47" s="1"/>
  <c r="DF110" i="47"/>
  <c r="DD110" i="47"/>
  <c r="DE110" i="47" s="1"/>
  <c r="GS108" i="47"/>
  <c r="GQ108" i="47"/>
  <c r="GR108" i="47" s="1"/>
  <c r="AF112" i="47"/>
  <c r="AD112" i="47"/>
  <c r="AE112" i="47" s="1"/>
  <c r="Q114" i="47"/>
  <c r="R114" i="47" s="1"/>
  <c r="S114" i="47"/>
  <c r="MD107" i="47"/>
  <c r="MF107" i="47"/>
  <c r="JD112" i="47"/>
  <c r="JE112" i="47" s="1"/>
  <c r="JF112" i="47"/>
  <c r="LS110" i="47"/>
  <c r="LQ110" i="47"/>
  <c r="LR110" i="47" s="1"/>
  <c r="CD107" i="47"/>
  <c r="CF107" i="47"/>
  <c r="FS113" i="47"/>
  <c r="FQ113" i="47"/>
  <c r="FR113" i="47" s="1"/>
  <c r="KF113" i="47"/>
  <c r="KD113" i="47"/>
  <c r="KE113" i="47" s="1"/>
  <c r="FF113" i="47"/>
  <c r="FD113" i="47"/>
  <c r="FE113" i="47" s="1"/>
  <c r="FQ114" i="47"/>
  <c r="FR114" i="47" s="1"/>
  <c r="FS114" i="47"/>
  <c r="JD113" i="47"/>
  <c r="JE113" i="47" s="1"/>
  <c r="JF113" i="47"/>
  <c r="BQ111" i="47"/>
  <c r="BR111" i="47" s="1"/>
  <c r="BS111" i="47"/>
  <c r="IS113" i="47"/>
  <c r="IQ113" i="47"/>
  <c r="IR113" i="47" s="1"/>
  <c r="KS109" i="47"/>
  <c r="KQ109" i="47"/>
  <c r="KR109" i="47" s="1"/>
  <c r="LF109" i="47"/>
  <c r="LD109" i="47"/>
  <c r="LE109" i="47" s="1"/>
  <c r="BD112" i="47"/>
  <c r="BE112" i="47" s="1"/>
  <c r="BF112" i="47"/>
  <c r="AF113" i="47"/>
  <c r="AD113" i="47"/>
  <c r="AE113" i="47" s="1"/>
  <c r="ED113" i="47"/>
  <c r="EE113" i="47" s="1"/>
  <c r="EF113" i="47"/>
  <c r="GD111" i="47"/>
  <c r="GE111" i="47" s="1"/>
  <c r="GF111" i="47"/>
  <c r="HS109" i="47"/>
  <c r="HQ109" i="47"/>
  <c r="HR109" i="47" s="1"/>
  <c r="HS110" i="47"/>
  <c r="HQ110" i="47"/>
  <c r="HR110" i="47" s="1"/>
  <c r="HF113" i="47"/>
  <c r="HD113" i="47"/>
  <c r="HE113" i="47" s="1"/>
  <c r="AS109" i="47"/>
  <c r="AD107" i="47"/>
  <c r="AF107" i="47"/>
  <c r="EO142" i="47"/>
  <c r="KF114" i="47"/>
  <c r="KD114" i="47"/>
  <c r="KE114" i="47" s="1"/>
  <c r="CQ107" i="47"/>
  <c r="CS107" i="47"/>
  <c r="IF111" i="47"/>
  <c r="ID111" i="47"/>
  <c r="IE111" i="47" s="1"/>
  <c r="HD112" i="47"/>
  <c r="HE112" i="47" s="1"/>
  <c r="HF112" i="47"/>
  <c r="MF110" i="47"/>
  <c r="MD110" i="47"/>
  <c r="ME110" i="47" s="1"/>
  <c r="ID114" i="47"/>
  <c r="IE114" i="47" s="1"/>
  <c r="IF114" i="47"/>
  <c r="CF110" i="47"/>
  <c r="CD110" i="47"/>
  <c r="CE110" i="47" s="1"/>
  <c r="FD108" i="47"/>
  <c r="FE108" i="47" s="1"/>
  <c r="FF108" i="47"/>
  <c r="GS107" i="47"/>
  <c r="FS111" i="47"/>
  <c r="FQ111" i="47"/>
  <c r="FR111" i="47" s="1"/>
  <c r="DS111" i="47"/>
  <c r="DF107" i="47"/>
  <c r="DD107" i="47"/>
  <c r="ES108" i="47"/>
  <c r="EQ108" i="47"/>
  <c r="ER108" i="47" s="1"/>
  <c r="AQ110" i="47"/>
  <c r="AR110" i="47" s="1"/>
  <c r="AS110" i="47"/>
  <c r="BF110" i="47"/>
  <c r="BD110" i="47"/>
  <c r="BE110" i="47" s="1"/>
  <c r="JS112" i="47"/>
  <c r="JQ112" i="47"/>
  <c r="JR112" i="47" s="1"/>
  <c r="AS141" i="47"/>
  <c r="FE143" i="47"/>
  <c r="JE143" i="47"/>
  <c r="DS142" i="47"/>
  <c r="S144" i="47"/>
  <c r="CR143" i="47"/>
  <c r="LF141" i="47"/>
  <c r="FF141" i="47"/>
  <c r="ER142" i="47"/>
  <c r="FE144" i="47"/>
  <c r="S142" i="47"/>
  <c r="ME143" i="47"/>
  <c r="JR144" i="47"/>
  <c r="AE142" i="47"/>
  <c r="DE143" i="47"/>
  <c r="IS141" i="47"/>
  <c r="DR144" i="47"/>
  <c r="ER141" i="47"/>
  <c r="ME142" i="47"/>
  <c r="FR142" i="47"/>
  <c r="AR143" i="47"/>
  <c r="AE143" i="47"/>
  <c r="DE141" i="47"/>
  <c r="BR143" i="47"/>
  <c r="HS142" i="47"/>
  <c r="IF144" i="47"/>
  <c r="HR142" i="47"/>
  <c r="GP117" i="47"/>
  <c r="EP119" i="47"/>
  <c r="EC116" i="47"/>
  <c r="DP116" i="47"/>
  <c r="HP117" i="47"/>
  <c r="EP116" i="47"/>
  <c r="BC116" i="47"/>
  <c r="AP116" i="47"/>
  <c r="JS144" i="47"/>
  <c r="MF142" i="47"/>
  <c r="DE144" i="47"/>
  <c r="BE143" i="47"/>
  <c r="IS143" i="47"/>
  <c r="AR141" i="47"/>
  <c r="AF143" i="47"/>
  <c r="LE142" i="47"/>
  <c r="LS141" i="47"/>
  <c r="EE141" i="47"/>
  <c r="GC118" i="47"/>
  <c r="DR143" i="47"/>
  <c r="JF144" i="47"/>
  <c r="HS144" i="47"/>
  <c r="GF142" i="47"/>
  <c r="HF141" i="47"/>
  <c r="BS142" i="47"/>
  <c r="EE144" i="47"/>
  <c r="CS143" i="47"/>
  <c r="DC117" i="47"/>
  <c r="KC116" i="47"/>
  <c r="LP117" i="47"/>
  <c r="BC119" i="47"/>
  <c r="JC116" i="47"/>
  <c r="GP119" i="47"/>
  <c r="KP118" i="47"/>
  <c r="DC119" i="47"/>
  <c r="DP117" i="47"/>
  <c r="EP117" i="47"/>
  <c r="BF144" i="47"/>
  <c r="GR143" i="47"/>
  <c r="GF144" i="47"/>
  <c r="AS144" i="47"/>
  <c r="LE141" i="47"/>
  <c r="CR144" i="47"/>
  <c r="HF144" i="47"/>
  <c r="CE143" i="47"/>
  <c r="HR141" i="47"/>
  <c r="LE143" i="47"/>
  <c r="LR142" i="47"/>
  <c r="FC118" i="47"/>
  <c r="ES144" i="47"/>
  <c r="AF141" i="47"/>
  <c r="MF141" i="47"/>
  <c r="IF142" i="47"/>
  <c r="HE144" i="47"/>
  <c r="AF144" i="47"/>
  <c r="FP117" i="47"/>
  <c r="AP118" i="47"/>
  <c r="HC118" i="47"/>
  <c r="GC119" i="47"/>
  <c r="IC119" i="47"/>
  <c r="EP118" i="47"/>
  <c r="P119" i="47"/>
  <c r="DC118" i="47"/>
  <c r="P118" i="47"/>
  <c r="IR144" i="47"/>
  <c r="R143" i="47"/>
  <c r="FS142" i="47"/>
  <c r="IS142" i="47"/>
  <c r="CF143" i="47"/>
  <c r="AF142" i="47"/>
  <c r="LS143" i="47"/>
  <c r="JE142" i="47"/>
  <c r="GR141" i="47"/>
  <c r="BR141" i="47"/>
  <c r="KR141" i="47"/>
  <c r="BF143" i="47"/>
  <c r="LF143" i="47"/>
  <c r="CC117" i="47"/>
  <c r="IF141" i="47"/>
  <c r="AE141" i="47"/>
  <c r="GF143" i="47"/>
  <c r="JR143" i="47"/>
  <c r="EE143" i="47"/>
  <c r="KS141" i="47"/>
  <c r="JC118" i="47"/>
  <c r="JP119" i="47"/>
  <c r="LP116" i="47"/>
  <c r="KP119" i="47"/>
  <c r="AC118" i="47"/>
  <c r="BC118" i="47"/>
  <c r="JC117" i="47"/>
  <c r="EC118" i="47"/>
  <c r="LC116" i="47"/>
  <c r="DC116" i="47"/>
  <c r="CS142" i="47"/>
  <c r="HE142" i="47"/>
  <c r="FE142" i="47"/>
  <c r="FS141" i="47"/>
  <c r="GS141" i="47"/>
  <c r="AE144" i="47"/>
  <c r="R144" i="47"/>
  <c r="FF144" i="47"/>
  <c r="HF143" i="47"/>
  <c r="JR142" i="47"/>
  <c r="CF144" i="47"/>
  <c r="KS143" i="47"/>
  <c r="KR142" i="47"/>
  <c r="IE142" i="47"/>
  <c r="HF142" i="47"/>
  <c r="KE143" i="47"/>
  <c r="S141" i="47"/>
  <c r="R141" i="47"/>
  <c r="DF142" i="47"/>
  <c r="HC116" i="47"/>
  <c r="MC117" i="47"/>
  <c r="HP119" i="47"/>
  <c r="LC119" i="47"/>
  <c r="GP118" i="47"/>
  <c r="LC117" i="47"/>
  <c r="CP117" i="47"/>
  <c r="KP116" i="47"/>
  <c r="BP119" i="47"/>
  <c r="BR142" i="47"/>
  <c r="JE141" i="47"/>
  <c r="BS144" i="47"/>
  <c r="CS141" i="47"/>
  <c r="ER143" i="47"/>
  <c r="ME141" i="47"/>
  <c r="FR141" i="47"/>
  <c r="AR144" i="47"/>
  <c r="DF143" i="47"/>
  <c r="DR142" i="47"/>
  <c r="BF142" i="47"/>
  <c r="ES142" i="47"/>
  <c r="EE142" i="47"/>
  <c r="KR143" i="47"/>
  <c r="GE144" i="47"/>
  <c r="KS144" i="47"/>
  <c r="EF144" i="47"/>
  <c r="FF142" i="47"/>
  <c r="CF142" i="47"/>
  <c r="GE141" i="47"/>
  <c r="GS144" i="47"/>
  <c r="IP118" i="47"/>
  <c r="GP116" i="47"/>
  <c r="HP116" i="47"/>
  <c r="FC117" i="47"/>
  <c r="KC118" i="47"/>
  <c r="BC117" i="47"/>
  <c r="IP117" i="47"/>
  <c r="FC116" i="47"/>
  <c r="FP116" i="47"/>
  <c r="CE141" i="47"/>
  <c r="LF142" i="47"/>
  <c r="AS142" i="47"/>
  <c r="DE142" i="47"/>
  <c r="LS142" i="47"/>
  <c r="MF144" i="47"/>
  <c r="DR141" i="47"/>
  <c r="IE141" i="47"/>
  <c r="JF142" i="47"/>
  <c r="KS142" i="47"/>
  <c r="CR141" i="47"/>
  <c r="JC119" i="47"/>
  <c r="KP117" i="47"/>
  <c r="JE144" i="47"/>
  <c r="FE141" i="47"/>
  <c r="JS141" i="47"/>
  <c r="AS143" i="47"/>
  <c r="HS143" i="47"/>
  <c r="LR143" i="47"/>
  <c r="KF141" i="47"/>
  <c r="DP119" i="47"/>
  <c r="CC116" i="47"/>
  <c r="CC119" i="47"/>
  <c r="JP117" i="47"/>
  <c r="P116" i="47"/>
  <c r="P117" i="47"/>
  <c r="MC118" i="47"/>
  <c r="AC116" i="47"/>
  <c r="DF141" i="47"/>
  <c r="JS142" i="47"/>
  <c r="CE144" i="47"/>
  <c r="IR142" i="47"/>
  <c r="HE143" i="47"/>
  <c r="BE144" i="47"/>
  <c r="HR144" i="47"/>
  <c r="CF141" i="47"/>
  <c r="DS143" i="47"/>
  <c r="IR141" i="47"/>
  <c r="JF141" i="47"/>
  <c r="EF143" i="47"/>
  <c r="BE142" i="47"/>
  <c r="MF143" i="47"/>
  <c r="GR142" i="47"/>
  <c r="KE144" i="47"/>
  <c r="BP116" i="47"/>
  <c r="EC119" i="47"/>
  <c r="AC119" i="47"/>
  <c r="IP119" i="47"/>
  <c r="LP119" i="47"/>
  <c r="AP117" i="47"/>
  <c r="BP117" i="47"/>
  <c r="HC117" i="47"/>
  <c r="KE142" i="47"/>
  <c r="ER144" i="47"/>
  <c r="FR143" i="47"/>
  <c r="LS144" i="47"/>
  <c r="GR144" i="47"/>
  <c r="JF143" i="47"/>
  <c r="JS143" i="47"/>
  <c r="LR144" i="47"/>
  <c r="JR141" i="47"/>
  <c r="GS142" i="47"/>
  <c r="MC116" i="47"/>
  <c r="DS144" i="47"/>
  <c r="GS143" i="47"/>
  <c r="LE144" i="47"/>
  <c r="BF141" i="47"/>
  <c r="BS143" i="47"/>
  <c r="CP118" i="47"/>
  <c r="HC119" i="47"/>
  <c r="MC119" i="47"/>
  <c r="IP116" i="47"/>
  <c r="FP118" i="47"/>
  <c r="IC116" i="47"/>
  <c r="IC117" i="47"/>
  <c r="CP116" i="47"/>
  <c r="ME144" i="47"/>
  <c r="KF142" i="47"/>
  <c r="GE142" i="47"/>
  <c r="FR144" i="47"/>
  <c r="BS141" i="47"/>
  <c r="LR141" i="47"/>
  <c r="IE144" i="47"/>
  <c r="KR144" i="47"/>
  <c r="CE142" i="47"/>
  <c r="FS144" i="47"/>
  <c r="S143" i="47"/>
  <c r="LF144" i="47"/>
  <c r="EF141" i="47"/>
  <c r="DS141" i="47"/>
  <c r="FC119" i="47"/>
  <c r="CP119" i="47"/>
  <c r="GC116" i="47"/>
  <c r="AP119" i="47"/>
  <c r="JP118" i="47"/>
  <c r="LC118" i="47"/>
  <c r="FP119" i="47"/>
  <c r="GC117" i="47"/>
  <c r="LP118" i="47"/>
  <c r="IS144" i="47"/>
  <c r="DF144" i="47"/>
  <c r="CR142" i="47"/>
  <c r="IF143" i="47"/>
  <c r="BE141" i="47"/>
  <c r="KE141" i="47"/>
  <c r="FF143" i="47"/>
  <c r="ES143" i="47"/>
  <c r="CS144" i="47"/>
  <c r="AR142" i="47"/>
  <c r="CC118" i="47"/>
  <c r="BR144" i="47"/>
  <c r="HE141" i="47"/>
  <c r="EF142" i="47"/>
  <c r="GF141" i="47"/>
  <c r="KF144" i="47"/>
  <c r="JP116" i="47"/>
  <c r="BP118" i="47"/>
  <c r="KC119" i="47"/>
  <c r="KC117" i="47"/>
  <c r="DP118" i="47"/>
  <c r="HP118" i="47"/>
  <c r="AC117" i="47"/>
  <c r="EC117" i="47"/>
  <c r="R142" i="47"/>
  <c r="KF143" i="47"/>
  <c r="IE143" i="47"/>
  <c r="FS143" i="47"/>
  <c r="ES141" i="47"/>
  <c r="GE143" i="47"/>
  <c r="HS141" i="47"/>
  <c r="IR143" i="47"/>
  <c r="IC118" i="47"/>
  <c r="HR143" i="47"/>
  <c r="GS112" i="47"/>
  <c r="GQ112" i="47"/>
  <c r="GR112" i="47" s="1"/>
  <c r="HS111" i="47"/>
  <c r="HQ111" i="47"/>
  <c r="HR111" i="47" s="1"/>
  <c r="GF107" i="47"/>
  <c r="GD107" i="47"/>
  <c r="DD114" i="47"/>
  <c r="DE114" i="47" s="1"/>
  <c r="DF114" i="47"/>
  <c r="AF110" i="47"/>
  <c r="AD110" i="47"/>
  <c r="AE110" i="47" s="1"/>
  <c r="DD108" i="47"/>
  <c r="DE108" i="47" s="1"/>
  <c r="DF108" i="47"/>
  <c r="GD109" i="47"/>
  <c r="GE109" i="47" s="1"/>
  <c r="GF109" i="47"/>
  <c r="DQ108" i="47"/>
  <c r="DR108" i="47" s="1"/>
  <c r="DS108" i="47"/>
  <c r="LQ109" i="47"/>
  <c r="LR109" i="47" s="1"/>
  <c r="LS109" i="47"/>
  <c r="IF107" i="47"/>
  <c r="ID107" i="47"/>
  <c r="DQ107" i="47"/>
  <c r="DS107" i="47"/>
  <c r="Q112" i="47"/>
  <c r="R112" i="47" s="1"/>
  <c r="S112" i="47"/>
  <c r="CS110" i="47"/>
  <c r="CQ110" i="47"/>
  <c r="CR110" i="47" s="1"/>
  <c r="FQ110" i="47"/>
  <c r="FR110" i="47" s="1"/>
  <c r="FS110" i="47"/>
  <c r="CF109" i="47"/>
  <c r="CD109" i="47"/>
  <c r="CE109" i="47" s="1"/>
  <c r="EF111" i="47"/>
  <c r="ED111" i="47"/>
  <c r="EE111" i="47" s="1"/>
  <c r="LD111" i="47"/>
  <c r="LE111" i="47" s="1"/>
  <c r="LF111" i="47"/>
  <c r="KD109" i="47"/>
  <c r="KE109" i="47" s="1"/>
  <c r="KF109" i="47"/>
  <c r="KQ113" i="47"/>
  <c r="KR113" i="47" s="1"/>
  <c r="KS113" i="47"/>
  <c r="HF109" i="47"/>
  <c r="HD109" i="47"/>
  <c r="HE109" i="47" s="1"/>
  <c r="GF112" i="47"/>
  <c r="GD112" i="47"/>
  <c r="GE112" i="47" s="1"/>
  <c r="BS113" i="47"/>
  <c r="BQ113" i="47"/>
  <c r="BR113" i="47" s="1"/>
  <c r="Q109" i="47"/>
  <c r="R109" i="47" s="1"/>
  <c r="JD109" i="47"/>
  <c r="JE109" i="47" s="1"/>
  <c r="JF109" i="47"/>
  <c r="GQ114" i="47"/>
  <c r="GR114" i="47" s="1"/>
  <c r="GS114" i="47"/>
  <c r="KS107" i="47"/>
  <c r="KQ107" i="47"/>
  <c r="GQ109" i="47"/>
  <c r="GR109" i="47" s="1"/>
  <c r="GS109" i="47"/>
  <c r="L76" i="74"/>
  <c r="LF107" i="47" l="1"/>
  <c r="LF108" i="47"/>
  <c r="IQ114" i="47"/>
  <c r="IR114" i="47" s="1"/>
  <c r="EQ109" i="47"/>
  <c r="ER109" i="47" s="1"/>
  <c r="JD114" i="47"/>
  <c r="JE114" i="47" s="1"/>
  <c r="FF111" i="47"/>
  <c r="IF113" i="47"/>
  <c r="BF113" i="47"/>
  <c r="JQ108" i="47"/>
  <c r="JR108" i="47" s="1"/>
  <c r="JS109" i="47"/>
  <c r="CD108" i="47"/>
  <c r="CE108" i="47" s="1"/>
  <c r="JS114" i="47"/>
  <c r="KS110" i="47"/>
  <c r="ID112" i="47"/>
  <c r="IE112" i="47" s="1"/>
  <c r="KF107" i="47"/>
  <c r="KQ112" i="47"/>
  <c r="KR112" i="47" s="1"/>
  <c r="CD113" i="47"/>
  <c r="CE113" i="47" s="1"/>
  <c r="CS113" i="47"/>
  <c r="LQ107" i="47"/>
  <c r="Q108" i="47"/>
  <c r="R108" i="47" s="1"/>
  <c r="LQ108" i="47"/>
  <c r="LR108" i="47" s="1"/>
  <c r="DD113" i="47"/>
  <c r="DE113" i="47" s="1"/>
  <c r="IS112" i="47"/>
  <c r="AD109" i="47"/>
  <c r="AE109" i="47" s="1"/>
  <c r="CF111" i="47"/>
  <c r="JQ107" i="47"/>
  <c r="JR107" i="47" s="1"/>
  <c r="AS113" i="47"/>
  <c r="AF111" i="47"/>
  <c r="Q110" i="47"/>
  <c r="R110" i="47" s="1"/>
  <c r="ID108" i="47"/>
  <c r="IE108" i="47" s="1"/>
  <c r="AS108" i="47"/>
  <c r="LS113" i="47"/>
  <c r="EQ107" i="47"/>
  <c r="JQ110" i="47"/>
  <c r="JR110" i="47" s="1"/>
  <c r="DQ112" i="47"/>
  <c r="DR112" i="47" s="1"/>
  <c r="FD109" i="47"/>
  <c r="FE109" i="47" s="1"/>
  <c r="DS110" i="47"/>
  <c r="IS107" i="47"/>
  <c r="GS110" i="47"/>
  <c r="KD112" i="47"/>
  <c r="KE112" i="47" s="1"/>
  <c r="LS114" i="47"/>
  <c r="JD108" i="47"/>
  <c r="JE108" i="47" s="1"/>
  <c r="BQ114" i="47"/>
  <c r="BR114" i="47" s="1"/>
  <c r="FD112" i="47"/>
  <c r="FE112" i="47" s="1"/>
  <c r="MD113" i="47"/>
  <c r="ME113" i="47" s="1"/>
  <c r="KD110" i="47"/>
  <c r="KE110" i="47" s="1"/>
  <c r="CD114" i="47"/>
  <c r="CE114" i="47" s="1"/>
  <c r="C124" i="28"/>
  <c r="B124" i="28" s="1"/>
  <c r="D150" i="48"/>
  <c r="C124" i="47"/>
  <c r="B121" i="47"/>
  <c r="ET121" i="47"/>
  <c r="LG121" i="47"/>
  <c r="IT122" i="47"/>
  <c r="IO147" i="47" s="1"/>
  <c r="CG122" i="47"/>
  <c r="CB147" i="47" s="1"/>
  <c r="GG121" i="47"/>
  <c r="DG122" i="47"/>
  <c r="DB147" i="47" s="1"/>
  <c r="IT121" i="47"/>
  <c r="BT122" i="47"/>
  <c r="BO147" i="47" s="1"/>
  <c r="JG121" i="47"/>
  <c r="CT122" i="47"/>
  <c r="CO147" i="47" s="1"/>
  <c r="KT121" i="47"/>
  <c r="KT122" i="47"/>
  <c r="KO147" i="47" s="1"/>
  <c r="AT122" i="47"/>
  <c r="AO147" i="47" s="1"/>
  <c r="HG122" i="47"/>
  <c r="HB147" i="47" s="1"/>
  <c r="KG121" i="47"/>
  <c r="T121" i="47"/>
  <c r="IG122" i="47"/>
  <c r="IB147" i="47" s="1"/>
  <c r="AT121" i="47"/>
  <c r="JG122" i="47"/>
  <c r="JB147" i="47" s="1"/>
  <c r="MG121" i="47"/>
  <c r="FT121" i="47"/>
  <c r="CT121" i="47"/>
  <c r="CG121" i="47"/>
  <c r="LT122" i="47"/>
  <c r="LO147" i="47" s="1"/>
  <c r="EG121" i="47"/>
  <c r="EG122" i="47"/>
  <c r="EB147" i="47" s="1"/>
  <c r="FT122" i="47"/>
  <c r="FO147" i="47" s="1"/>
  <c r="GG122" i="47"/>
  <c r="GB147" i="47" s="1"/>
  <c r="BG122" i="47"/>
  <c r="BB147" i="47" s="1"/>
  <c r="HG121" i="47"/>
  <c r="HT122" i="47"/>
  <c r="HO147" i="47" s="1"/>
  <c r="DT122" i="47"/>
  <c r="DO147" i="47" s="1"/>
  <c r="DG121" i="47"/>
  <c r="BG121" i="47"/>
  <c r="HT121" i="47"/>
  <c r="KG122" i="47"/>
  <c r="KB147" i="47" s="1"/>
  <c r="LG122" i="47"/>
  <c r="LB147" i="47" s="1"/>
  <c r="BT121" i="47"/>
  <c r="DT121" i="47"/>
  <c r="JT121" i="47"/>
  <c r="JT122" i="47"/>
  <c r="JO147" i="47" s="1"/>
  <c r="GT121" i="47"/>
  <c r="GT122" i="47"/>
  <c r="GO147" i="47" s="1"/>
  <c r="MG122" i="47"/>
  <c r="MB147" i="47" s="1"/>
  <c r="AG122" i="47"/>
  <c r="AB147" i="47" s="1"/>
  <c r="T122" i="47"/>
  <c r="O147" i="47" s="1"/>
  <c r="ET122" i="47"/>
  <c r="EO147" i="47" s="1"/>
  <c r="AG121" i="47"/>
  <c r="IG121" i="47"/>
  <c r="FG122" i="47"/>
  <c r="FB147" i="47" s="1"/>
  <c r="LT121" i="47"/>
  <c r="FG121" i="47"/>
  <c r="D94" i="74"/>
  <c r="L94" i="74" s="1"/>
  <c r="E102" i="74" s="1"/>
  <c r="JF117" i="47"/>
  <c r="JD117" i="47"/>
  <c r="JE117" i="47" s="1"/>
  <c r="AQ119" i="47"/>
  <c r="AR119" i="47" s="1"/>
  <c r="AS119" i="47"/>
  <c r="HF119" i="47"/>
  <c r="HD119" i="47"/>
  <c r="HE119" i="47" s="1"/>
  <c r="EF119" i="47"/>
  <c r="ED119" i="47"/>
  <c r="EE119" i="47" s="1"/>
  <c r="CD116" i="47"/>
  <c r="CE116" i="47" s="1"/>
  <c r="CF116" i="47"/>
  <c r="IQ117" i="47"/>
  <c r="IR117" i="47" s="1"/>
  <c r="IS117" i="47"/>
  <c r="HF116" i="47"/>
  <c r="HD116" i="47"/>
  <c r="HE116" i="47" s="1"/>
  <c r="BF118" i="47"/>
  <c r="BD118" i="47"/>
  <c r="BE118" i="47" s="1"/>
  <c r="CF117" i="47"/>
  <c r="CD117" i="47"/>
  <c r="CE117" i="47" s="1"/>
  <c r="LQ117" i="47"/>
  <c r="LR117" i="47" s="1"/>
  <c r="LS117" i="47"/>
  <c r="EQ116" i="47"/>
  <c r="ER116" i="47" s="1"/>
  <c r="ES116" i="47"/>
  <c r="CE107" i="47"/>
  <c r="ME107" i="47"/>
  <c r="MD119" i="47"/>
  <c r="ME119" i="47" s="1"/>
  <c r="MF119" i="47"/>
  <c r="BF119" i="47"/>
  <c r="BD119" i="47"/>
  <c r="BE119" i="47" s="1"/>
  <c r="KF119" i="47"/>
  <c r="KD119" i="47"/>
  <c r="KE119" i="47" s="1"/>
  <c r="BS118" i="47"/>
  <c r="BQ118" i="47"/>
  <c r="BR118" i="47" s="1"/>
  <c r="GD116" i="47"/>
  <c r="GE116" i="47" s="1"/>
  <c r="GF116" i="47"/>
  <c r="CS118" i="47"/>
  <c r="CQ118" i="47"/>
  <c r="CR118" i="47" s="1"/>
  <c r="BS116" i="47"/>
  <c r="BQ116" i="47"/>
  <c r="BR116" i="47" s="1"/>
  <c r="DQ119" i="47"/>
  <c r="DR119" i="47" s="1"/>
  <c r="DS119" i="47"/>
  <c r="BD117" i="47"/>
  <c r="BE117" i="47" s="1"/>
  <c r="BF117" i="47"/>
  <c r="AF118" i="47"/>
  <c r="AD118" i="47"/>
  <c r="AE118" i="47" s="1"/>
  <c r="KF116" i="47"/>
  <c r="KD116" i="47"/>
  <c r="KE116" i="47" s="1"/>
  <c r="HQ117" i="47"/>
  <c r="HR117" i="47" s="1"/>
  <c r="HS117" i="47"/>
  <c r="FR107" i="47"/>
  <c r="JE107" i="47"/>
  <c r="IR107" i="47"/>
  <c r="KF117" i="47"/>
  <c r="KD117" i="47"/>
  <c r="KE117" i="47" s="1"/>
  <c r="MD117" i="47"/>
  <c r="ME117" i="47" s="1"/>
  <c r="MF117" i="47"/>
  <c r="JS116" i="47"/>
  <c r="JQ116" i="47"/>
  <c r="JR116" i="47" s="1"/>
  <c r="CQ119" i="47"/>
  <c r="CR119" i="47" s="1"/>
  <c r="CS119" i="47"/>
  <c r="KF118" i="47"/>
  <c r="KD118" i="47"/>
  <c r="KE118" i="47" s="1"/>
  <c r="KS119" i="47"/>
  <c r="KQ119" i="47"/>
  <c r="KR119" i="47" s="1"/>
  <c r="S118" i="47"/>
  <c r="Q118" i="47"/>
  <c r="R118" i="47" s="1"/>
  <c r="DF117" i="47"/>
  <c r="DD117" i="47"/>
  <c r="DE117" i="47" s="1"/>
  <c r="DS116" i="47"/>
  <c r="DQ116" i="47"/>
  <c r="DR116" i="47" s="1"/>
  <c r="KE107" i="47"/>
  <c r="CF119" i="47"/>
  <c r="CD119" i="47"/>
  <c r="CE119" i="47" s="1"/>
  <c r="GE107" i="47"/>
  <c r="FD119" i="47"/>
  <c r="FE119" i="47" s="1"/>
  <c r="FF119" i="47"/>
  <c r="FF117" i="47"/>
  <c r="FD117" i="47"/>
  <c r="FE117" i="47" s="1"/>
  <c r="LQ116" i="47"/>
  <c r="LR116" i="47" s="1"/>
  <c r="LS116" i="47"/>
  <c r="DF118" i="47"/>
  <c r="DD118" i="47"/>
  <c r="DE118" i="47" s="1"/>
  <c r="EF116" i="47"/>
  <c r="ED116" i="47"/>
  <c r="EE116" i="47" s="1"/>
  <c r="BE107" i="47"/>
  <c r="EE107" i="47"/>
  <c r="JQ119" i="47"/>
  <c r="JR119" i="47" s="1"/>
  <c r="JS119" i="47"/>
  <c r="S119" i="47"/>
  <c r="Q119" i="47"/>
  <c r="R119" i="47" s="1"/>
  <c r="EQ119" i="47"/>
  <c r="ER119" i="47" s="1"/>
  <c r="ES119" i="47"/>
  <c r="GR107" i="47"/>
  <c r="ER107" i="47"/>
  <c r="HE107" i="47"/>
  <c r="GS116" i="47"/>
  <c r="GQ116" i="47"/>
  <c r="GR116" i="47" s="1"/>
  <c r="KQ116" i="47"/>
  <c r="KR116" i="47" s="1"/>
  <c r="KS116" i="47"/>
  <c r="JD118" i="47"/>
  <c r="JE118" i="47" s="1"/>
  <c r="JF118" i="47"/>
  <c r="EQ118" i="47"/>
  <c r="ER118" i="47" s="1"/>
  <c r="ES118" i="47"/>
  <c r="FF118" i="47"/>
  <c r="FD118" i="47"/>
  <c r="FE118" i="47" s="1"/>
  <c r="EQ117" i="47"/>
  <c r="ER117" i="47" s="1"/>
  <c r="ES117" i="47"/>
  <c r="GQ117" i="47"/>
  <c r="GR117" i="47" s="1"/>
  <c r="GS117" i="47"/>
  <c r="FE107" i="47"/>
  <c r="BR107" i="47"/>
  <c r="R107" i="47"/>
  <c r="JQ118" i="47"/>
  <c r="JR118" i="47" s="1"/>
  <c r="JS118" i="47"/>
  <c r="GF118" i="47"/>
  <c r="GD118" i="47"/>
  <c r="GE118" i="47" s="1"/>
  <c r="LE107" i="47"/>
  <c r="HS116" i="47"/>
  <c r="HQ116" i="47"/>
  <c r="HR116" i="47" s="1"/>
  <c r="KR107" i="47"/>
  <c r="IE107" i="47"/>
  <c r="CS116" i="47"/>
  <c r="CQ116" i="47"/>
  <c r="CR116" i="47" s="1"/>
  <c r="HF117" i="47"/>
  <c r="HD117" i="47"/>
  <c r="HE117" i="47" s="1"/>
  <c r="AD116" i="47"/>
  <c r="AE116" i="47" s="1"/>
  <c r="AF116" i="47"/>
  <c r="IQ118" i="47"/>
  <c r="IR118" i="47" s="1"/>
  <c r="IS118" i="47"/>
  <c r="CS117" i="47"/>
  <c r="CQ117" i="47"/>
  <c r="CR117" i="47" s="1"/>
  <c r="IF119" i="47"/>
  <c r="ID119" i="47"/>
  <c r="IE119" i="47" s="1"/>
  <c r="DQ117" i="47"/>
  <c r="DR117" i="47" s="1"/>
  <c r="DS117" i="47"/>
  <c r="AD119" i="47"/>
  <c r="AE119" i="47" s="1"/>
  <c r="AF119" i="47"/>
  <c r="ED117" i="47"/>
  <c r="EE117" i="47" s="1"/>
  <c r="EF117" i="47"/>
  <c r="LS118" i="47"/>
  <c r="LQ118" i="47"/>
  <c r="LR118" i="47" s="1"/>
  <c r="ID117" i="47"/>
  <c r="IE117" i="47" s="1"/>
  <c r="IF117" i="47"/>
  <c r="MF116" i="47"/>
  <c r="MD116" i="47"/>
  <c r="ME116" i="47" s="1"/>
  <c r="BQ117" i="47"/>
  <c r="BR117" i="47" s="1"/>
  <c r="BS117" i="47"/>
  <c r="MD118" i="47"/>
  <c r="ME118" i="47" s="1"/>
  <c r="MF118" i="47"/>
  <c r="LF117" i="47"/>
  <c r="LD117" i="47"/>
  <c r="LE117" i="47" s="1"/>
  <c r="GF119" i="47"/>
  <c r="GD119" i="47"/>
  <c r="GE119" i="47" s="1"/>
  <c r="DF119" i="47"/>
  <c r="DD119" i="47"/>
  <c r="DE119" i="47" s="1"/>
  <c r="AE107" i="47"/>
  <c r="HR107" i="47"/>
  <c r="BD116" i="47"/>
  <c r="BE116" i="47" s="1"/>
  <c r="BF116" i="47"/>
  <c r="BQ119" i="47"/>
  <c r="BR119" i="47" s="1"/>
  <c r="BS119" i="47"/>
  <c r="AF117" i="47"/>
  <c r="AD117" i="47"/>
  <c r="AE117" i="47" s="1"/>
  <c r="CF118" i="47"/>
  <c r="CD118" i="47"/>
  <c r="CE118" i="47" s="1"/>
  <c r="GF117" i="47"/>
  <c r="GD117" i="47"/>
  <c r="GE117" i="47" s="1"/>
  <c r="IF116" i="47"/>
  <c r="ID116" i="47"/>
  <c r="IE116" i="47" s="1"/>
  <c r="AS117" i="47"/>
  <c r="AQ117" i="47"/>
  <c r="AR117" i="47" s="1"/>
  <c r="S117" i="47"/>
  <c r="Q117" i="47"/>
  <c r="R117" i="47" s="1"/>
  <c r="GS118" i="47"/>
  <c r="GQ118" i="47"/>
  <c r="GR118" i="47" s="1"/>
  <c r="DD116" i="47"/>
  <c r="DE116" i="47" s="1"/>
  <c r="DF116" i="47"/>
  <c r="HF118" i="47"/>
  <c r="HD118" i="47"/>
  <c r="HE118" i="47" s="1"/>
  <c r="KS118" i="47"/>
  <c r="KQ118" i="47"/>
  <c r="KR118" i="47" s="1"/>
  <c r="DE107" i="47"/>
  <c r="DR107" i="47"/>
  <c r="HS118" i="47"/>
  <c r="HQ118" i="47"/>
  <c r="HR118" i="47" s="1"/>
  <c r="FQ119" i="47"/>
  <c r="FR119" i="47" s="1"/>
  <c r="FS119" i="47"/>
  <c r="FQ118" i="47"/>
  <c r="FR118" i="47" s="1"/>
  <c r="FS118" i="47"/>
  <c r="LS119" i="47"/>
  <c r="LQ119" i="47"/>
  <c r="LR119" i="47" s="1"/>
  <c r="Q116" i="47"/>
  <c r="R116" i="47" s="1"/>
  <c r="S116" i="47"/>
  <c r="KS117" i="47"/>
  <c r="KQ117" i="47"/>
  <c r="KR117" i="47" s="1"/>
  <c r="LD119" i="47"/>
  <c r="LE119" i="47" s="1"/>
  <c r="LF119" i="47"/>
  <c r="LD116" i="47"/>
  <c r="LE116" i="47" s="1"/>
  <c r="LF116" i="47"/>
  <c r="AQ118" i="47"/>
  <c r="AR118" i="47" s="1"/>
  <c r="AS118" i="47"/>
  <c r="GQ119" i="47"/>
  <c r="GR119" i="47" s="1"/>
  <c r="GS119" i="47"/>
  <c r="CR107" i="47"/>
  <c r="LR107" i="47"/>
  <c r="FF116" i="47"/>
  <c r="FD116" i="47"/>
  <c r="FE116" i="47" s="1"/>
  <c r="IF118" i="47"/>
  <c r="ID118" i="47"/>
  <c r="IE118" i="47" s="1"/>
  <c r="DS118" i="47"/>
  <c r="DQ118" i="47"/>
  <c r="DR118" i="47" s="1"/>
  <c r="LD118" i="47"/>
  <c r="LE118" i="47" s="1"/>
  <c r="LF118" i="47"/>
  <c r="IQ116" i="47"/>
  <c r="IR116" i="47" s="1"/>
  <c r="IS116" i="47"/>
  <c r="IQ119" i="47"/>
  <c r="IR119" i="47" s="1"/>
  <c r="IS119" i="47"/>
  <c r="JS117" i="47"/>
  <c r="JQ117" i="47"/>
  <c r="JR117" i="47" s="1"/>
  <c r="JD119" i="47"/>
  <c r="JE119" i="47" s="1"/>
  <c r="JF119" i="47"/>
  <c r="FS116" i="47"/>
  <c r="FQ116" i="47"/>
  <c r="FR116" i="47" s="1"/>
  <c r="HS119" i="47"/>
  <c r="HQ119" i="47"/>
  <c r="HR119" i="47" s="1"/>
  <c r="EF118" i="47"/>
  <c r="ED118" i="47"/>
  <c r="EE118" i="47" s="1"/>
  <c r="FS117" i="47"/>
  <c r="FQ117" i="47"/>
  <c r="FR117" i="47" s="1"/>
  <c r="JF116" i="47"/>
  <c r="JD116" i="47"/>
  <c r="JE116" i="47" s="1"/>
  <c r="AS116" i="47"/>
  <c r="AQ116" i="47"/>
  <c r="AR116" i="47" s="1"/>
  <c r="AR107" i="47"/>
  <c r="L89" i="74"/>
  <c r="L83" i="74"/>
  <c r="E96" i="74" s="1"/>
  <c r="L80" i="74"/>
  <c r="L88" i="74"/>
  <c r="D100" i="74" s="1"/>
  <c r="L79" i="74"/>
  <c r="D95" i="74" s="1"/>
  <c r="L87" i="74"/>
  <c r="IO146" i="47" l="1"/>
  <c r="IT128" i="47"/>
  <c r="IT129" i="47" s="1"/>
  <c r="GO146" i="47"/>
  <c r="GT128" i="47"/>
  <c r="GT129" i="47" s="1"/>
  <c r="HB146" i="47"/>
  <c r="HG128" i="47"/>
  <c r="HG129" i="47" s="1"/>
  <c r="AO146" i="47"/>
  <c r="AT128" i="47"/>
  <c r="AT129" i="47" s="1"/>
  <c r="GB146" i="47"/>
  <c r="GG128" i="47"/>
  <c r="GG129" i="47" s="1"/>
  <c r="MB146" i="47"/>
  <c r="MG128" i="47"/>
  <c r="MG129" i="47" s="1"/>
  <c r="FB146" i="47"/>
  <c r="FG128" i="47"/>
  <c r="FG129" i="47" s="1"/>
  <c r="JO146" i="47"/>
  <c r="JT128" i="47"/>
  <c r="JT129" i="47" s="1"/>
  <c r="O146" i="47"/>
  <c r="T128" i="47"/>
  <c r="T129" i="47" s="1"/>
  <c r="LO146" i="47"/>
  <c r="LT128" i="47"/>
  <c r="LT129" i="47" s="1"/>
  <c r="DO146" i="47"/>
  <c r="DT128" i="47"/>
  <c r="DT129" i="47" s="1"/>
  <c r="KB146" i="47"/>
  <c r="KG128" i="47"/>
  <c r="KG129" i="47" s="1"/>
  <c r="BO146" i="47"/>
  <c r="BT128" i="47"/>
  <c r="BT129" i="47" s="1"/>
  <c r="LB146" i="47"/>
  <c r="LG128" i="47"/>
  <c r="LG129" i="47" s="1"/>
  <c r="IB146" i="47"/>
  <c r="IG128" i="47"/>
  <c r="IG129" i="47" s="1"/>
  <c r="EB146" i="47"/>
  <c r="EG128" i="47"/>
  <c r="EG129" i="47" s="1"/>
  <c r="EO146" i="47"/>
  <c r="ET128" i="47"/>
  <c r="ET129" i="47" s="1"/>
  <c r="AB146" i="47"/>
  <c r="AG128" i="47"/>
  <c r="AG129" i="47" s="1"/>
  <c r="LX133" i="47"/>
  <c r="LX132" i="47"/>
  <c r="DM133" i="47"/>
  <c r="IX132" i="47"/>
  <c r="AZ133" i="47"/>
  <c r="HZ132" i="47"/>
  <c r="GX132" i="47"/>
  <c r="DX133" i="47"/>
  <c r="JK132" i="47"/>
  <c r="FZ132" i="47"/>
  <c r="EM133" i="47"/>
  <c r="IK132" i="47"/>
  <c r="CK133" i="47"/>
  <c r="M132" i="47"/>
  <c r="BX132" i="47"/>
  <c r="IK133" i="47"/>
  <c r="Z133" i="47"/>
  <c r="HK132" i="47"/>
  <c r="IM133" i="47"/>
  <c r="KZ133" i="47"/>
  <c r="KM133" i="47"/>
  <c r="EK133" i="47"/>
  <c r="FM133" i="47"/>
  <c r="KX132" i="47"/>
  <c r="X133" i="47"/>
  <c r="CX133" i="47"/>
  <c r="K132" i="47"/>
  <c r="LK133" i="47"/>
  <c r="BM133" i="47"/>
  <c r="AK132" i="47"/>
  <c r="GM132" i="47"/>
  <c r="AM132" i="47"/>
  <c r="K133" i="47"/>
  <c r="IX133" i="47"/>
  <c r="DK133" i="47"/>
  <c r="EM132" i="47"/>
  <c r="HZ133" i="47"/>
  <c r="FK133" i="47"/>
  <c r="FK132" i="47"/>
  <c r="AX132" i="47"/>
  <c r="FX132" i="47"/>
  <c r="DZ133" i="47"/>
  <c r="CX132" i="47"/>
  <c r="CM133" i="47"/>
  <c r="JX133" i="47"/>
  <c r="AX133" i="47"/>
  <c r="KZ132" i="47"/>
  <c r="GZ133" i="47"/>
  <c r="LZ132" i="47"/>
  <c r="AM133" i="47"/>
  <c r="DM132" i="47"/>
  <c r="FZ133" i="47"/>
  <c r="DZ132" i="47"/>
  <c r="JZ132" i="47"/>
  <c r="KK133" i="47"/>
  <c r="IM132" i="47"/>
  <c r="EX133" i="47"/>
  <c r="HK133" i="47"/>
  <c r="JM132" i="47"/>
  <c r="IZ132" i="47"/>
  <c r="EX132" i="47"/>
  <c r="JM133" i="47"/>
  <c r="HX133" i="47"/>
  <c r="BZ132" i="47"/>
  <c r="LM133" i="47"/>
  <c r="KK132" i="47"/>
  <c r="BX133" i="47"/>
  <c r="HM133" i="47"/>
  <c r="X132" i="47"/>
  <c r="JX132" i="47"/>
  <c r="KX133" i="47"/>
  <c r="CZ132" i="47"/>
  <c r="IZ133" i="47"/>
  <c r="AZ132" i="47"/>
  <c r="BK132" i="47"/>
  <c r="M133" i="47"/>
  <c r="LK132" i="47"/>
  <c r="HM132" i="47"/>
  <c r="GM133" i="47"/>
  <c r="Z132" i="47"/>
  <c r="CK132" i="47"/>
  <c r="FX133" i="47"/>
  <c r="BZ133" i="47"/>
  <c r="CZ133" i="47"/>
  <c r="GX133" i="47"/>
  <c r="DK132" i="47"/>
  <c r="EZ132" i="47"/>
  <c r="KM132" i="47"/>
  <c r="BM132" i="47"/>
  <c r="EK132" i="47"/>
  <c r="JK133" i="47"/>
  <c r="FM132" i="47"/>
  <c r="LZ133" i="47"/>
  <c r="DX132" i="47"/>
  <c r="GK132" i="47"/>
  <c r="AK133" i="47"/>
  <c r="CM132" i="47"/>
  <c r="EZ133" i="47"/>
  <c r="JZ133" i="47"/>
  <c r="BK133" i="47"/>
  <c r="GZ132" i="47"/>
  <c r="GK133" i="47"/>
  <c r="HX132" i="47"/>
  <c r="LM132" i="47"/>
  <c r="CC122" i="47"/>
  <c r="AP121" i="47"/>
  <c r="LC121" i="47"/>
  <c r="DC122" i="47"/>
  <c r="KC122" i="47"/>
  <c r="DC121" i="47"/>
  <c r="GC122" i="47"/>
  <c r="CP122" i="47"/>
  <c r="FC121" i="47"/>
  <c r="IC122" i="47"/>
  <c r="BP121" i="47"/>
  <c r="AP122" i="47"/>
  <c r="MC121" i="47"/>
  <c r="HC122" i="47"/>
  <c r="HC121" i="47"/>
  <c r="JC122" i="47"/>
  <c r="CP121" i="47"/>
  <c r="AC121" i="47"/>
  <c r="GP122" i="47"/>
  <c r="BC121" i="47"/>
  <c r="JP122" i="47"/>
  <c r="IP122" i="47"/>
  <c r="IC121" i="47"/>
  <c r="GC121" i="47"/>
  <c r="LP122" i="47"/>
  <c r="KP122" i="47"/>
  <c r="EC121" i="47"/>
  <c r="KP121" i="47"/>
  <c r="FP122" i="47"/>
  <c r="JC121" i="47"/>
  <c r="GP121" i="47"/>
  <c r="FP121" i="47"/>
  <c r="EP121" i="47"/>
  <c r="LP121" i="47"/>
  <c r="DP122" i="47"/>
  <c r="CC121" i="47"/>
  <c r="LC122" i="47"/>
  <c r="EP122" i="47"/>
  <c r="HP122" i="47"/>
  <c r="MC122" i="47"/>
  <c r="KC121" i="47"/>
  <c r="AC122" i="47"/>
  <c r="IP121" i="47"/>
  <c r="HP121" i="47"/>
  <c r="P121" i="47"/>
  <c r="DP121" i="47"/>
  <c r="JP121" i="47"/>
  <c r="BP122" i="47"/>
  <c r="EC122" i="47"/>
  <c r="FC122" i="47"/>
  <c r="BC122" i="47"/>
  <c r="P122" i="47"/>
  <c r="HO146" i="47"/>
  <c r="HT128" i="47"/>
  <c r="HT129" i="47" s="1"/>
  <c r="CB146" i="47"/>
  <c r="CG128" i="47"/>
  <c r="CG129" i="47" s="1"/>
  <c r="KO146" i="47"/>
  <c r="KT128" i="47"/>
  <c r="KT129" i="47" s="1"/>
  <c r="B124" i="47"/>
  <c r="GG124" i="47"/>
  <c r="DG124" i="47"/>
  <c r="JG124" i="47"/>
  <c r="ET124" i="47"/>
  <c r="JT124" i="47"/>
  <c r="IT124" i="47"/>
  <c r="LG124" i="47"/>
  <c r="IG124" i="47"/>
  <c r="CG124" i="47"/>
  <c r="DT124" i="47"/>
  <c r="FT124" i="47"/>
  <c r="BG124" i="47"/>
  <c r="AG124" i="47"/>
  <c r="KT124" i="47"/>
  <c r="HG124" i="47"/>
  <c r="BT124" i="47"/>
  <c r="T124" i="47"/>
  <c r="CT124" i="47"/>
  <c r="KG124" i="47"/>
  <c r="FG124" i="47"/>
  <c r="MG124" i="47"/>
  <c r="LT124" i="47"/>
  <c r="GT124" i="47"/>
  <c r="EG124" i="47"/>
  <c r="AT124" i="47"/>
  <c r="HT124" i="47"/>
  <c r="BB146" i="47"/>
  <c r="BG128" i="47"/>
  <c r="BG129" i="47" s="1"/>
  <c r="CO146" i="47"/>
  <c r="CT128" i="47"/>
  <c r="CT129" i="47" s="1"/>
  <c r="DB146" i="47"/>
  <c r="DG128" i="47"/>
  <c r="DG129" i="47" s="1"/>
  <c r="FO146" i="47"/>
  <c r="FT128" i="47"/>
  <c r="FT129" i="47" s="1"/>
  <c r="JB146" i="47"/>
  <c r="JG128" i="47"/>
  <c r="JG129" i="47" s="1"/>
  <c r="E93" i="74"/>
  <c r="L93" i="74" s="1"/>
  <c r="D99" i="74"/>
  <c r="L99" i="74" s="1"/>
  <c r="D105" i="74" s="1"/>
  <c r="E97" i="74"/>
  <c r="L97" i="74" s="1"/>
  <c r="L84" i="74"/>
  <c r="L81" i="74"/>
  <c r="L91" i="74"/>
  <c r="E99" i="74" s="1"/>
  <c r="DD122" i="47" l="1"/>
  <c r="DE122" i="47" s="1"/>
  <c r="DF122" i="47"/>
  <c r="BD122" i="47"/>
  <c r="BE122" i="47" s="1"/>
  <c r="BF122" i="47"/>
  <c r="HQ122" i="47"/>
  <c r="HR122" i="47" s="1"/>
  <c r="HS122" i="47"/>
  <c r="ED121" i="47"/>
  <c r="EF121" i="47"/>
  <c r="EC128" i="47"/>
  <c r="EC129" i="47" s="1"/>
  <c r="HD121" i="47"/>
  <c r="HF121" i="47"/>
  <c r="HC128" i="47"/>
  <c r="HC129" i="47" s="1"/>
  <c r="LD121" i="47"/>
  <c r="LC128" i="47"/>
  <c r="LC129" i="47" s="1"/>
  <c r="LF121" i="47"/>
  <c r="KP128" i="47"/>
  <c r="KP129" i="47" s="1"/>
  <c r="KQ121" i="47"/>
  <c r="KS121" i="47"/>
  <c r="FF122" i="47"/>
  <c r="FD122" i="47"/>
  <c r="FE122" i="47" s="1"/>
  <c r="EQ122" i="47"/>
  <c r="ER122" i="47" s="1"/>
  <c r="ES122" i="47"/>
  <c r="KS122" i="47"/>
  <c r="KQ122" i="47"/>
  <c r="KR122" i="47" s="1"/>
  <c r="HF122" i="47"/>
  <c r="HD122" i="47"/>
  <c r="HE122" i="47" s="1"/>
  <c r="AQ121" i="47"/>
  <c r="AS121" i="47"/>
  <c r="AP128" i="47"/>
  <c r="AP129" i="47" s="1"/>
  <c r="EF122" i="47"/>
  <c r="ED122" i="47"/>
  <c r="EE122" i="47" s="1"/>
  <c r="LF122" i="47"/>
  <c r="LD122" i="47"/>
  <c r="LE122" i="47" s="1"/>
  <c r="LQ122" i="47"/>
  <c r="LR122" i="47" s="1"/>
  <c r="LS122" i="47"/>
  <c r="MD121" i="47"/>
  <c r="MF121" i="47"/>
  <c r="MC128" i="47"/>
  <c r="MC129" i="47" s="1"/>
  <c r="CD122" i="47"/>
  <c r="CE122" i="47" s="1"/>
  <c r="CF122" i="47"/>
  <c r="BQ122" i="47"/>
  <c r="BR122" i="47" s="1"/>
  <c r="BS122" i="47"/>
  <c r="CC128" i="47"/>
  <c r="CC129" i="47" s="1"/>
  <c r="CD121" i="47"/>
  <c r="CF121" i="47"/>
  <c r="GC128" i="47"/>
  <c r="GC129" i="47" s="1"/>
  <c r="GF121" i="47"/>
  <c r="GD121" i="47"/>
  <c r="AS122" i="47"/>
  <c r="AQ122" i="47"/>
  <c r="AR122" i="47" s="1"/>
  <c r="MF122" i="47"/>
  <c r="MD122" i="47"/>
  <c r="ME122" i="47" s="1"/>
  <c r="JS121" i="47"/>
  <c r="JQ121" i="47"/>
  <c r="JP128" i="47"/>
  <c r="JP129" i="47" s="1"/>
  <c r="DQ122" i="47"/>
  <c r="DR122" i="47" s="1"/>
  <c r="DS122" i="47"/>
  <c r="ID121" i="47"/>
  <c r="IC128" i="47"/>
  <c r="IC129" i="47" s="1"/>
  <c r="IF121" i="47"/>
  <c r="IF128" i="47" s="1"/>
  <c r="IF129" i="47" s="1"/>
  <c r="BQ121" i="47"/>
  <c r="BP128" i="47"/>
  <c r="BP129" i="47" s="1"/>
  <c r="BS121" i="47"/>
  <c r="JF122" i="47"/>
  <c r="JD122" i="47"/>
  <c r="JE122" i="47" s="1"/>
  <c r="DQ121" i="47"/>
  <c r="DS121" i="47"/>
  <c r="DP128" i="47"/>
  <c r="DP129" i="47" s="1"/>
  <c r="LP128" i="47"/>
  <c r="LP129" i="47" s="1"/>
  <c r="LQ121" i="47"/>
  <c r="LS121" i="47"/>
  <c r="LS128" i="47" s="1"/>
  <c r="LS129" i="47" s="1"/>
  <c r="IQ122" i="47"/>
  <c r="IR122" i="47" s="1"/>
  <c r="IS122" i="47"/>
  <c r="IF122" i="47"/>
  <c r="ID122" i="47"/>
  <c r="IE122" i="47" s="1"/>
  <c r="S121" i="47"/>
  <c r="Q121" i="47"/>
  <c r="P128" i="47"/>
  <c r="P129" i="47" s="1"/>
  <c r="EQ121" i="47"/>
  <c r="EP128" i="47"/>
  <c r="EP129" i="47" s="1"/>
  <c r="ES121" i="47"/>
  <c r="ES128" i="47" s="1"/>
  <c r="ES129" i="47" s="1"/>
  <c r="JS122" i="47"/>
  <c r="JQ122" i="47"/>
  <c r="JR122" i="47" s="1"/>
  <c r="FF121" i="47"/>
  <c r="FF128" i="47" s="1"/>
  <c r="FF129" i="47" s="1"/>
  <c r="FD121" i="47"/>
  <c r="FC128" i="47"/>
  <c r="FC129" i="47" s="1"/>
  <c r="HP128" i="47"/>
  <c r="HP129" i="47" s="1"/>
  <c r="HS121" i="47"/>
  <c r="HS128" i="47" s="1"/>
  <c r="HS129" i="47" s="1"/>
  <c r="HQ121" i="47"/>
  <c r="FS121" i="47"/>
  <c r="FQ121" i="47"/>
  <c r="FP128" i="47"/>
  <c r="FP129" i="47" s="1"/>
  <c r="BD121" i="47"/>
  <c r="BC128" i="47"/>
  <c r="BC129" i="47" s="1"/>
  <c r="BF121" i="47"/>
  <c r="BF128" i="47" s="1"/>
  <c r="BF129" i="47" s="1"/>
  <c r="CQ122" i="47"/>
  <c r="CR122" i="47" s="1"/>
  <c r="CS122" i="47"/>
  <c r="IQ121" i="47"/>
  <c r="IP128" i="47"/>
  <c r="IP129" i="47" s="1"/>
  <c r="IS121" i="47"/>
  <c r="GP128" i="47"/>
  <c r="GP129" i="47" s="1"/>
  <c r="GS121" i="47"/>
  <c r="GQ121" i="47"/>
  <c r="GQ122" i="47"/>
  <c r="GR122" i="47" s="1"/>
  <c r="GS122" i="47"/>
  <c r="GD122" i="47"/>
  <c r="GE122" i="47" s="1"/>
  <c r="GF122" i="47"/>
  <c r="S122" i="47"/>
  <c r="Q122" i="47"/>
  <c r="R122" i="47" s="1"/>
  <c r="AF122" i="47"/>
  <c r="AD122" i="47"/>
  <c r="AE122" i="47" s="1"/>
  <c r="JC128" i="47"/>
  <c r="JC129" i="47" s="1"/>
  <c r="JD121" i="47"/>
  <c r="JF121" i="47"/>
  <c r="JF128" i="47" s="1"/>
  <c r="JF129" i="47" s="1"/>
  <c r="AC128" i="47"/>
  <c r="AC129" i="47" s="1"/>
  <c r="AF121" i="47"/>
  <c r="AF128" i="47" s="1"/>
  <c r="AF129" i="47" s="1"/>
  <c r="AD121" i="47"/>
  <c r="DC128" i="47"/>
  <c r="DC129" i="47" s="1"/>
  <c r="DD121" i="47"/>
  <c r="DF121" i="47"/>
  <c r="DF128" i="47" s="1"/>
  <c r="DF129" i="47" s="1"/>
  <c r="KF121" i="47"/>
  <c r="KD121" i="47"/>
  <c r="KC128" i="47"/>
  <c r="KC129" i="47" s="1"/>
  <c r="FQ122" i="47"/>
  <c r="FR122" i="47" s="1"/>
  <c r="FS122" i="47"/>
  <c r="CS121" i="47"/>
  <c r="CS128" i="47" s="1"/>
  <c r="CS129" i="47" s="1"/>
  <c r="CP128" i="47"/>
  <c r="CP129" i="47" s="1"/>
  <c r="CQ121" i="47"/>
  <c r="KF122" i="47"/>
  <c r="KD122" i="47"/>
  <c r="KE122" i="47" s="1"/>
  <c r="D102" i="74"/>
  <c r="L102" i="74" s="1"/>
  <c r="D107" i="74" s="1"/>
  <c r="D103" i="74"/>
  <c r="L103" i="74" s="1"/>
  <c r="E107" i="74" s="1"/>
  <c r="E95" i="74"/>
  <c r="L95" i="74" s="1"/>
  <c r="D98" i="74"/>
  <c r="L98" i="74" s="1"/>
  <c r="E103" i="74" s="1"/>
  <c r="L86" i="74"/>
  <c r="D97" i="74" s="1"/>
  <c r="CF128" i="47" l="1"/>
  <c r="CF129" i="47" s="1"/>
  <c r="HF128" i="47"/>
  <c r="HF129" i="47" s="1"/>
  <c r="D110" i="74"/>
  <c r="FS128" i="47"/>
  <c r="FS129" i="47" s="1"/>
  <c r="IS128" i="47"/>
  <c r="IS129" i="47" s="1"/>
  <c r="AS128" i="47"/>
  <c r="AS129" i="47" s="1"/>
  <c r="GE121" i="47"/>
  <c r="GE128" i="47" s="1"/>
  <c r="GE129" i="47" s="1"/>
  <c r="GD128" i="47"/>
  <c r="GD129" i="47" s="1"/>
  <c r="ME121" i="47"/>
  <c r="ME128" i="47" s="1"/>
  <c r="ME129" i="47" s="1"/>
  <c r="MD128" i="47"/>
  <c r="MD129" i="47" s="1"/>
  <c r="GF128" i="47"/>
  <c r="GF129" i="47" s="1"/>
  <c r="LR121" i="47"/>
  <c r="LR128" i="47" s="1"/>
  <c r="LR129" i="47" s="1"/>
  <c r="LQ128" i="47"/>
  <c r="LQ129" i="47" s="1"/>
  <c r="IE121" i="47"/>
  <c r="IE128" i="47" s="1"/>
  <c r="IE129" i="47" s="1"/>
  <c r="ID128" i="47"/>
  <c r="ID129" i="47" s="1"/>
  <c r="HE121" i="47"/>
  <c r="HE128" i="47" s="1"/>
  <c r="HE129" i="47" s="1"/>
  <c r="HD128" i="47"/>
  <c r="HD129" i="47" s="1"/>
  <c r="CE121" i="47"/>
  <c r="CE128" i="47" s="1"/>
  <c r="CE129" i="47" s="1"/>
  <c r="CD128" i="47"/>
  <c r="CD129" i="47" s="1"/>
  <c r="EF128" i="47"/>
  <c r="EF129" i="47" s="1"/>
  <c r="DE121" i="47"/>
  <c r="DE128" i="47" s="1"/>
  <c r="DE129" i="47" s="1"/>
  <c r="DD128" i="47"/>
  <c r="DD129" i="47" s="1"/>
  <c r="AE121" i="47"/>
  <c r="AE128" i="47" s="1"/>
  <c r="AE129" i="47" s="1"/>
  <c r="AD128" i="47"/>
  <c r="AD129" i="47" s="1"/>
  <c r="CR121" i="47"/>
  <c r="CR128" i="47" s="1"/>
  <c r="CR129" i="47" s="1"/>
  <c r="CQ128" i="47"/>
  <c r="CQ129" i="47" s="1"/>
  <c r="GR121" i="47"/>
  <c r="GR128" i="47" s="1"/>
  <c r="GR129" i="47" s="1"/>
  <c r="GQ128" i="47"/>
  <c r="GQ129" i="47" s="1"/>
  <c r="FR121" i="47"/>
  <c r="FR128" i="47" s="1"/>
  <c r="FR129" i="47" s="1"/>
  <c r="FQ128" i="47"/>
  <c r="FQ129" i="47" s="1"/>
  <c r="ER121" i="47"/>
  <c r="ER128" i="47" s="1"/>
  <c r="ER129" i="47" s="1"/>
  <c r="EQ128" i="47"/>
  <c r="EQ129" i="47" s="1"/>
  <c r="DS128" i="47"/>
  <c r="DS129" i="47" s="1"/>
  <c r="EE121" i="47"/>
  <c r="EE128" i="47" s="1"/>
  <c r="EE129" i="47" s="1"/>
  <c r="ED128" i="47"/>
  <c r="ED129" i="47" s="1"/>
  <c r="GS128" i="47"/>
  <c r="GS129" i="47" s="1"/>
  <c r="DR121" i="47"/>
  <c r="DR128" i="47" s="1"/>
  <c r="DR129" i="47" s="1"/>
  <c r="DQ128" i="47"/>
  <c r="DQ129" i="47" s="1"/>
  <c r="JR121" i="47"/>
  <c r="JR128" i="47" s="1"/>
  <c r="JR129" i="47" s="1"/>
  <c r="JQ128" i="47"/>
  <c r="JQ129" i="47" s="1"/>
  <c r="KS128" i="47"/>
  <c r="KS129" i="47" s="1"/>
  <c r="JE121" i="47"/>
  <c r="JE128" i="47" s="1"/>
  <c r="JE129" i="47" s="1"/>
  <c r="JD128" i="47"/>
  <c r="JD129" i="47" s="1"/>
  <c r="HR121" i="47"/>
  <c r="HR128" i="47" s="1"/>
  <c r="HR129" i="47" s="1"/>
  <c r="HQ128" i="47"/>
  <c r="HQ129" i="47" s="1"/>
  <c r="HO130" i="47" s="1"/>
  <c r="HI2" i="47" s="1"/>
  <c r="R121" i="47"/>
  <c r="R128" i="47" s="1"/>
  <c r="R129" i="47" s="1"/>
  <c r="Q128" i="47"/>
  <c r="Q129" i="47" s="1"/>
  <c r="JS128" i="47"/>
  <c r="JS129" i="47" s="1"/>
  <c r="KR121" i="47"/>
  <c r="KR128" i="47" s="1"/>
  <c r="KR129" i="47" s="1"/>
  <c r="KQ128" i="47"/>
  <c r="KQ129" i="47" s="1"/>
  <c r="S128" i="47"/>
  <c r="S129" i="47" s="1"/>
  <c r="BS128" i="47"/>
  <c r="BS129" i="47" s="1"/>
  <c r="AR121" i="47"/>
  <c r="AR128" i="47" s="1"/>
  <c r="AR129" i="47" s="1"/>
  <c r="AQ128" i="47"/>
  <c r="AQ129" i="47" s="1"/>
  <c r="LF128" i="47"/>
  <c r="LF129" i="47" s="1"/>
  <c r="BE121" i="47"/>
  <c r="BE128" i="47" s="1"/>
  <c r="BE129" i="47" s="1"/>
  <c r="BD128" i="47"/>
  <c r="BD129" i="47" s="1"/>
  <c r="KE121" i="47"/>
  <c r="KE128" i="47" s="1"/>
  <c r="KE129" i="47" s="1"/>
  <c r="KD128" i="47"/>
  <c r="KD129" i="47" s="1"/>
  <c r="IR121" i="47"/>
  <c r="IR128" i="47" s="1"/>
  <c r="IR129" i="47" s="1"/>
  <c r="IQ128" i="47"/>
  <c r="IQ129" i="47" s="1"/>
  <c r="KF128" i="47"/>
  <c r="KF129" i="47" s="1"/>
  <c r="FE121" i="47"/>
  <c r="FE128" i="47" s="1"/>
  <c r="FE129" i="47" s="1"/>
  <c r="FD128" i="47"/>
  <c r="FD129" i="47" s="1"/>
  <c r="BR121" i="47"/>
  <c r="BR128" i="47" s="1"/>
  <c r="BR129" i="47" s="1"/>
  <c r="BQ128" i="47"/>
  <c r="BQ129" i="47" s="1"/>
  <c r="MF128" i="47"/>
  <c r="MF129" i="47" s="1"/>
  <c r="LE121" i="47"/>
  <c r="LE128" i="47" s="1"/>
  <c r="LE129" i="47" s="1"/>
  <c r="LD128" i="47"/>
  <c r="LD129" i="47" s="1"/>
  <c r="D104" i="74"/>
  <c r="L104" i="74" s="1"/>
  <c r="D108" i="74" s="1"/>
  <c r="L107" i="74"/>
  <c r="D112" i="74" s="1"/>
  <c r="JB130" i="47" l="1"/>
  <c r="IV2" i="47" s="1"/>
  <c r="CO130" i="47"/>
  <c r="CI2" i="47" s="1"/>
  <c r="EB130" i="47"/>
  <c r="DV2" i="47" s="1"/>
  <c r="CB130" i="47"/>
  <c r="BV2" i="47" s="1"/>
  <c r="HB130" i="47"/>
  <c r="GV2" i="47" s="1"/>
  <c r="BB130" i="47"/>
  <c r="AV2" i="47" s="1"/>
  <c r="AB130" i="47"/>
  <c r="V2" i="47" s="1"/>
  <c r="I5" i="32" s="1"/>
  <c r="LB130" i="47"/>
  <c r="KV2" i="47" s="1"/>
  <c r="LO130" i="47"/>
  <c r="LI2" i="47" s="1"/>
  <c r="IO130" i="47"/>
  <c r="II2" i="47" s="1"/>
  <c r="DB130" i="47"/>
  <c r="CV2" i="47" s="1"/>
  <c r="BO130" i="47"/>
  <c r="BI2" i="47" s="1"/>
  <c r="EO130" i="47"/>
  <c r="EI2" i="47" s="1"/>
  <c r="AO130" i="47"/>
  <c r="AI2" i="47" s="1"/>
  <c r="FB130" i="47"/>
  <c r="EV2" i="47" s="1"/>
  <c r="JO130" i="47"/>
  <c r="JI2" i="47" s="1"/>
  <c r="GO130" i="47"/>
  <c r="GI2" i="47" s="1"/>
  <c r="IB130" i="47"/>
  <c r="HV2" i="47" s="1"/>
  <c r="MB130" i="47"/>
  <c r="LV2" i="47" s="1"/>
  <c r="GB130" i="47"/>
  <c r="FV2" i="47" s="1"/>
  <c r="FO130" i="47"/>
  <c r="FI2" i="47" s="1"/>
  <c r="KO130" i="47"/>
  <c r="KI2" i="47" s="1"/>
  <c r="DO130" i="47"/>
  <c r="DI2" i="47" s="1"/>
  <c r="O130" i="47"/>
  <c r="I2" i="47" s="1"/>
  <c r="I4" i="32" s="1"/>
  <c r="J4" i="32" s="1"/>
  <c r="KB130" i="47"/>
  <c r="JV2" i="47" s="1"/>
  <c r="L82" i="74"/>
  <c r="L77" i="74"/>
  <c r="D93" i="74" s="1"/>
  <c r="L90" i="74"/>
  <c r="L85" i="74"/>
  <c r="E98" i="74" s="1"/>
  <c r="J5" i="32" l="1"/>
  <c r="G5" i="32" s="1"/>
  <c r="D96" i="74"/>
  <c r="L96" i="74" s="1"/>
  <c r="E104" i="74" s="1"/>
  <c r="E100" i="74"/>
  <c r="L100" i="74" s="1"/>
  <c r="G4" i="32" l="1"/>
  <c r="E105" i="74"/>
  <c r="L105" i="74" s="1"/>
  <c r="D31" i="32" l="1"/>
  <c r="C11" i="32"/>
  <c r="D83" i="32"/>
  <c r="D102" i="32"/>
  <c r="C27" i="32"/>
  <c r="C19" i="32"/>
  <c r="D28" i="32"/>
  <c r="C88" i="32"/>
  <c r="D63" i="32"/>
  <c r="C63" i="32"/>
  <c r="D15" i="32"/>
  <c r="D16" i="32"/>
  <c r="C100" i="32"/>
  <c r="D98" i="32"/>
  <c r="D74" i="32"/>
  <c r="D46" i="32"/>
  <c r="D37" i="32"/>
  <c r="C43" i="32"/>
  <c r="C98" i="32"/>
  <c r="C31" i="32"/>
  <c r="C78" i="32"/>
  <c r="D76" i="32"/>
  <c r="C6" i="32"/>
  <c r="D88" i="32"/>
  <c r="D71" i="32"/>
  <c r="D7" i="32"/>
  <c r="C20" i="32"/>
  <c r="D90" i="32"/>
  <c r="C87" i="32"/>
  <c r="C86" i="32"/>
  <c r="D86" i="32"/>
  <c r="C40" i="32"/>
  <c r="C72" i="32"/>
  <c r="C83" i="32"/>
  <c r="D67" i="32"/>
  <c r="D19" i="32"/>
  <c r="C32" i="32"/>
  <c r="D40" i="32"/>
  <c r="D33" i="32"/>
  <c r="D95" i="32"/>
  <c r="D79" i="32"/>
  <c r="C70" i="32"/>
  <c r="D103" i="32"/>
  <c r="C57" i="32"/>
  <c r="D21" i="32"/>
  <c r="C79" i="32"/>
  <c r="C91" i="32"/>
  <c r="C4" i="32"/>
  <c r="C84" i="32"/>
  <c r="C56" i="32"/>
  <c r="C41" i="32"/>
  <c r="D62" i="32"/>
  <c r="D10" i="32"/>
  <c r="C25" i="32"/>
  <c r="D85" i="32"/>
  <c r="C67" i="32"/>
  <c r="D70" i="32"/>
  <c r="C48" i="32"/>
  <c r="D59" i="32"/>
  <c r="D5" i="32"/>
  <c r="D29" i="32"/>
  <c r="C50" i="32"/>
  <c r="D6" i="32"/>
  <c r="C21" i="32"/>
  <c r="C13" i="32"/>
  <c r="D18" i="32"/>
  <c r="D39" i="32"/>
  <c r="D60" i="32"/>
  <c r="C18" i="32"/>
  <c r="D9" i="32"/>
  <c r="D68" i="32"/>
  <c r="C96" i="32"/>
  <c r="D26" i="32"/>
  <c r="C23" i="32"/>
  <c r="C34" i="32"/>
  <c r="C28" i="32"/>
  <c r="C61" i="32"/>
  <c r="D56" i="32"/>
  <c r="D45" i="32"/>
  <c r="C29" i="32"/>
  <c r="C33" i="32"/>
  <c r="D12" i="32"/>
  <c r="C73" i="32"/>
  <c r="D77" i="32"/>
  <c r="C46" i="32"/>
  <c r="D91" i="32"/>
  <c r="C47" i="32"/>
  <c r="C68" i="32"/>
  <c r="C94" i="32"/>
  <c r="C45" i="32"/>
  <c r="D42" i="32"/>
  <c r="D20" i="32"/>
  <c r="D30" i="32"/>
  <c r="C51" i="32"/>
  <c r="D92" i="32"/>
  <c r="D94" i="32"/>
  <c r="C101" i="32"/>
  <c r="D52" i="32"/>
  <c r="C16" i="32"/>
  <c r="D38" i="32"/>
  <c r="D23" i="32"/>
  <c r="D4" i="32"/>
  <c r="D36" i="32"/>
  <c r="D27" i="32"/>
  <c r="C62" i="32"/>
  <c r="C12" i="32"/>
  <c r="D81" i="32"/>
  <c r="C97" i="32"/>
  <c r="D75" i="32"/>
  <c r="C39" i="32"/>
  <c r="D50" i="32"/>
  <c r="D14" i="32"/>
  <c r="D97" i="32"/>
  <c r="C55" i="32"/>
  <c r="C37" i="32"/>
  <c r="C69" i="32"/>
  <c r="C42" i="32"/>
  <c r="C74" i="32"/>
  <c r="D48" i="32"/>
  <c r="C92" i="32"/>
  <c r="C22" i="32"/>
  <c r="D53" i="32"/>
  <c r="C26" i="32"/>
  <c r="C15" i="32"/>
  <c r="C35" i="32"/>
  <c r="C93" i="32"/>
  <c r="C66" i="32"/>
  <c r="C53" i="32"/>
  <c r="D44" i="32"/>
  <c r="C14" i="32"/>
  <c r="D24" i="32"/>
  <c r="D54" i="32"/>
  <c r="C36" i="32"/>
  <c r="D84" i="32"/>
  <c r="D51" i="32"/>
  <c r="D35" i="32"/>
  <c r="D47" i="32"/>
  <c r="C80" i="32"/>
  <c r="D65" i="32"/>
  <c r="C85" i="32"/>
  <c r="D89" i="32"/>
  <c r="D99" i="32"/>
  <c r="D93" i="32"/>
  <c r="C82" i="32"/>
  <c r="C102" i="32"/>
  <c r="D34" i="32"/>
  <c r="C54" i="32"/>
  <c r="D82" i="32"/>
  <c r="C95" i="32"/>
  <c r="C60" i="32"/>
  <c r="D43" i="32"/>
  <c r="C71" i="32"/>
  <c r="C10" i="32"/>
  <c r="D101" i="32"/>
  <c r="D55" i="32"/>
  <c r="C99" i="32"/>
  <c r="D87" i="32"/>
  <c r="D72" i="32"/>
  <c r="C44" i="32"/>
  <c r="C75" i="32"/>
  <c r="C52" i="32"/>
  <c r="D80" i="32"/>
  <c r="D32" i="32"/>
  <c r="C59" i="32"/>
  <c r="C76" i="32"/>
  <c r="C89" i="32"/>
  <c r="D49" i="32"/>
  <c r="C77" i="32"/>
  <c r="C65" i="32"/>
  <c r="C24" i="32"/>
  <c r="D11" i="32"/>
  <c r="D57" i="32"/>
  <c r="C64" i="32"/>
  <c r="C38" i="32"/>
  <c r="C90" i="32"/>
  <c r="C81" i="32"/>
  <c r="C17" i="32"/>
  <c r="C5" i="32"/>
  <c r="D78" i="32"/>
  <c r="D96" i="32"/>
  <c r="C30" i="32"/>
  <c r="C103" i="32"/>
  <c r="C7" i="32"/>
  <c r="D41" i="32"/>
  <c r="D13" i="32"/>
  <c r="D66" i="32"/>
  <c r="D58" i="32"/>
  <c r="D69" i="32"/>
  <c r="D17" i="32"/>
  <c r="D73" i="32"/>
  <c r="C49" i="32"/>
  <c r="D22" i="32"/>
  <c r="C58" i="32"/>
  <c r="D61" i="32"/>
  <c r="D25" i="32"/>
  <c r="D64" i="32"/>
  <c r="D8" i="32"/>
  <c r="C8" i="32"/>
  <c r="C9" i="32"/>
  <c r="D100" i="32"/>
  <c r="E108" i="74"/>
  <c r="E110" i="74" s="1"/>
  <c r="L110" i="74" l="1"/>
  <c r="L108" i="74"/>
  <c r="E112" i="74" s="1"/>
  <c r="L112" i="74" s="1"/>
  <c r="E114" i="74" s="1"/>
</calcChain>
</file>

<file path=xl/sharedStrings.xml><?xml version="1.0" encoding="utf-8"?>
<sst xmlns="http://schemas.openxmlformats.org/spreadsheetml/2006/main" count="8114" uniqueCount="2036">
  <si>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</si>
  <si>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</si>
  <si>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</si>
  <si>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</si>
  <si>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</si>
  <si>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</si>
  <si>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</si>
  <si>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</si>
  <si>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</si>
  <si>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</si>
  <si>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</si>
  <si>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</si>
  <si>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</si>
  <si>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</si>
  <si>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</si>
  <si>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</si>
  <si>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</si>
  <si>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</si>
  <si>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</si>
  <si>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</si>
  <si>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</si>
  <si>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</si>
  <si>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</si>
  <si>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</si>
  <si>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</si>
  <si>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</si>
  <si>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</si>
  <si>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</si>
  <si>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</si>
  <si>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</si>
  <si>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</si>
  <si>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</si>
  <si>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</si>
  <si>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</si>
  <si>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</si>
  <si>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</si>
  <si>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</si>
  <si>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</si>
  <si>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</si>
  <si>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</si>
  <si>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</si>
  <si>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</si>
  <si>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</si>
  <si>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</si>
  <si>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</si>
  <si>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</si>
  <si>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</si>
  <si>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</si>
  <si>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</si>
  <si>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</si>
  <si>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</si>
  <si>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</si>
  <si>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</si>
  <si>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</si>
  <si>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</si>
  <si>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</si>
  <si>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</si>
  <si>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</si>
  <si>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</si>
  <si>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</si>
  <si>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</si>
  <si>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</si>
  <si>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</si>
  <si>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</si>
  <si>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</si>
  <si>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</si>
  <si>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</si>
  <si>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</si>
  <si>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</si>
  <si>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</si>
  <si>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</si>
  <si>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</si>
  <si>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</si>
  <si>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</si>
  <si>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</si>
  <si>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</si>
  <si>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</si>
  <si>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</si>
  <si>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</si>
  <si>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</si>
  <si>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</si>
  <si>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</si>
  <si>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</si>
  <si>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</si>
  <si>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</si>
  <si>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</si>
  <si>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</si>
  <si>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</si>
  <si>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</si>
  <si>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</si>
  <si>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</si>
  <si>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</si>
  <si>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</si>
  <si>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</si>
  <si>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</si>
  <si>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</si>
  <si>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</si>
  <si>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</si>
  <si>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</si>
  <si>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</si>
  <si>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</si>
  <si>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</si>
  <si>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</si>
  <si>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</si>
  <si>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</si>
  <si>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</si>
  <si>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</si>
  <si>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</si>
  <si>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</si>
  <si>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</si>
  <si>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</si>
  <si>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</si>
  <si>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</si>
  <si>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</si>
  <si>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</si>
  <si>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</si>
  <si>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</si>
  <si>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</si>
  <si>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</si>
  <si>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</si>
  <si>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</si>
  <si>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</si>
  <si>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</si>
  <si>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</si>
  <si>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</si>
  <si>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</si>
  <si>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</si>
  <si>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</si>
  <si>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</si>
  <si>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</si>
  <si>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</si>
  <si>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</si>
  <si>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</si>
  <si>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</si>
  <si>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</si>
  <si>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</si>
  <si>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</si>
  <si>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</si>
  <si>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</si>
  <si>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</si>
  <si>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</si>
  <si>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</si>
  <si>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</si>
  <si>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</si>
  <si>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</si>
  <si>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</si>
  <si>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</si>
  <si>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</si>
  <si>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</si>
  <si>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</si>
  <si>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</si>
  <si>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</si>
  <si>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</si>
  <si>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</si>
  <si>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</si>
  <si>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</si>
  <si>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</si>
  <si>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</si>
  <si>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</si>
  <si>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</si>
  <si>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</si>
  <si>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</si>
  <si>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</si>
  <si>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</si>
  <si>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</si>
  <si>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</si>
  <si>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</si>
  <si>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</si>
  <si>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</si>
  <si>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</si>
  <si>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</si>
  <si>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</si>
  <si>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</si>
  <si>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</si>
  <si>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</si>
  <si>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</si>
  <si>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</si>
  <si>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</si>
  <si>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</si>
  <si>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</si>
  <si>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</si>
  <si>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</si>
  <si>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</si>
  <si>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</si>
  <si>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</si>
  <si>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</si>
  <si>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</si>
  <si>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</si>
  <si>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</si>
  <si>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</si>
  <si>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</si>
  <si>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</si>
  <si>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</si>
  <si>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</si>
  <si>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</si>
  <si>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</si>
  <si>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</si>
  <si>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</si>
  <si>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</si>
  <si>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</si>
  <si>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</si>
  <si>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</si>
  <si>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</si>
  <si>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</si>
  <si>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</si>
  <si>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</si>
  <si>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</si>
  <si>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</si>
  <si>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</si>
  <si>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</si>
  <si>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</si>
  <si>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</si>
  <si>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</si>
  <si>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</si>
  <si>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</si>
  <si>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</si>
  <si>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</si>
  <si>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</si>
  <si>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</si>
  <si>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</si>
  <si>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</si>
  <si>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</si>
  <si>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</si>
  <si>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</si>
  <si>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</si>
  <si>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</si>
  <si>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</si>
  <si>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</si>
  <si>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</si>
  <si>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</si>
  <si>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</si>
  <si>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</si>
  <si>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</si>
  <si>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</si>
  <si>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</si>
  <si>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</si>
  <si>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</si>
  <si>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</si>
  <si>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</si>
  <si>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</si>
  <si>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</si>
  <si>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</si>
  <si>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</si>
  <si>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</si>
  <si>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</si>
  <si>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</si>
  <si>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</si>
  <si>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</si>
  <si>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</si>
  <si>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</si>
  <si>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</si>
  <si>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</si>
  <si>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</si>
  <si>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</si>
  <si>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</si>
  <si>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</si>
  <si>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</si>
  <si>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</si>
  <si>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</si>
  <si>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</si>
  <si>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</si>
  <si>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</si>
  <si>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</si>
  <si>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</si>
  <si>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</si>
  <si>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</si>
  <si>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</si>
  <si>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</si>
  <si>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</si>
  <si>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</si>
  <si>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</si>
  <si>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</si>
  <si>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</si>
  <si>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</si>
  <si>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</si>
  <si>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</si>
  <si>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</si>
  <si>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</si>
  <si>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</si>
  <si>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</si>
  <si>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</si>
  <si>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</si>
  <si>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</si>
  <si>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</si>
  <si>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</si>
  <si>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</si>
  <si>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</si>
  <si>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</si>
  <si>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</si>
  <si>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</si>
  <si>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</si>
  <si>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</si>
  <si>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</si>
  <si>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</si>
  <si>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</si>
  <si>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</si>
  <si>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</si>
  <si>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</si>
  <si>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</si>
  <si>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</si>
  <si>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</si>
  <si>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</si>
  <si>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</si>
  <si>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</si>
  <si>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</si>
  <si>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</si>
  <si>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</si>
  <si>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</si>
  <si>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</si>
  <si>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</si>
  <si>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</si>
  <si>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</si>
  <si>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</si>
  <si>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</si>
  <si>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</si>
  <si>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</si>
  <si>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</si>
  <si>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</si>
  <si>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</si>
  <si>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</si>
  <si>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</si>
  <si>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</si>
  <si>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</si>
  <si>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</si>
  <si>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</si>
  <si>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</si>
  <si>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</si>
  <si>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</si>
  <si>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</si>
  <si>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</si>
  <si>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</si>
  <si>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</si>
  <si>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</si>
  <si>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</si>
  <si>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</si>
  <si>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</si>
  <si>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</si>
  <si>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</si>
  <si>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</si>
  <si>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</si>
  <si>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</si>
  <si>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</si>
  <si>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</si>
  <si>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</si>
  <si>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</si>
  <si>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</si>
  <si>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</si>
  <si>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</si>
  <si>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</si>
  <si>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</si>
  <si>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</si>
  <si>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</si>
  <si>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</si>
  <si>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</si>
  <si>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</si>
  <si>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</si>
  <si>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</si>
  <si>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</si>
  <si>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</si>
  <si>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</si>
  <si>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</si>
  <si>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</si>
  <si>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</si>
  <si>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</si>
  <si>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</si>
  <si>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</si>
  <si>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</si>
  <si>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</si>
  <si>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</si>
  <si>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</si>
  <si>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</si>
  <si>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</si>
  <si>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</si>
  <si>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</si>
  <si>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</si>
  <si>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</si>
  <si>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</si>
  <si>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</si>
  <si>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</si>
  <si>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</si>
  <si>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</si>
  <si>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</si>
  <si>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</si>
  <si>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</si>
  <si>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</si>
  <si>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</si>
  <si>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</si>
  <si>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</si>
  <si>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</si>
  <si>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</si>
  <si>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</si>
  <si>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</si>
  <si>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</si>
  <si>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</si>
  <si>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</si>
  <si>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</si>
  <si>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</si>
  <si>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</si>
  <si>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</si>
  <si>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</si>
  <si>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</si>
  <si>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</si>
  <si>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</si>
  <si>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</si>
  <si>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</si>
  <si>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</si>
  <si>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</si>
  <si>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</si>
  <si>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</si>
  <si>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</si>
  <si>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</si>
  <si>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</si>
  <si>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</si>
  <si>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</si>
  <si>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</si>
  <si>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</si>
  <si>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</si>
  <si>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</si>
  <si>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</si>
  <si>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</si>
  <si>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</si>
  <si>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</si>
  <si>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</si>
  <si>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</si>
  <si>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</si>
  <si>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</si>
  <si>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</si>
  <si>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</si>
  <si>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</si>
  <si>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</si>
  <si>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</si>
  <si>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</si>
  <si>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</si>
  <si>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</si>
  <si>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</si>
  <si>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</si>
  <si>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</si>
  <si>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</si>
  <si>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</si>
  <si>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</si>
  <si>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</si>
  <si>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</si>
  <si>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</si>
  <si>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</si>
  <si>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</si>
  <si>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</si>
  <si>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</si>
  <si>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</si>
  <si>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</si>
  <si>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</si>
  <si>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</si>
  <si>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</si>
  <si>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</si>
  <si>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</si>
  <si>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</si>
  <si>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</si>
  <si>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</si>
  <si>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</si>
  <si>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</si>
  <si>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</si>
  <si>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</si>
  <si>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</si>
  <si>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</si>
  <si>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</si>
  <si>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</si>
  <si>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</si>
  <si>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</si>
  <si>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</si>
  <si>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</si>
  <si>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</si>
  <si>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</si>
  <si>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</si>
  <si>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</si>
  <si>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</si>
  <si>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</si>
  <si>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</si>
  <si>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</si>
  <si>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</si>
  <si>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</si>
  <si>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</si>
  <si>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</si>
  <si>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</si>
  <si>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</si>
  <si>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</si>
  <si>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</si>
  <si>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</si>
  <si>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</si>
  <si>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</si>
  <si>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</si>
  <si>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</si>
  <si>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</si>
  <si>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</si>
  <si>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</si>
  <si>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</si>
  <si>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</si>
  <si>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</si>
  <si>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</si>
  <si>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</si>
  <si>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</si>
  <si>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</si>
  <si>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</si>
  <si>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</si>
  <si>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</si>
  <si>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</si>
  <si>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</si>
  <si>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</si>
  <si>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</si>
  <si>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</si>
  <si>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</si>
  <si>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</si>
  <si>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</si>
  <si>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</si>
  <si>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</si>
  <si>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</si>
  <si>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</si>
  <si>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</si>
  <si>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</si>
  <si>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</si>
  <si>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</si>
  <si>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</si>
  <si>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</si>
  <si>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</si>
  <si>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</si>
  <si>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</si>
  <si>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</si>
  <si>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</si>
  <si>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</si>
  <si>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</si>
  <si>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</si>
  <si>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</si>
  <si>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</si>
  <si>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</si>
  <si>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</si>
  <si>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</si>
  <si>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</si>
  <si>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</si>
  <si>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</si>
  <si>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</si>
  <si>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</si>
  <si>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</si>
  <si>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</si>
  <si>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</si>
  <si>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</si>
  <si>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</si>
  <si>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</si>
  <si>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</si>
  <si>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</si>
  <si>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</si>
  <si>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</si>
  <si>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</si>
  <si>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</si>
  <si>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</si>
  <si>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</si>
  <si>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</si>
  <si>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</si>
  <si>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</si>
  <si>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</si>
  <si>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</si>
  <si>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</si>
  <si>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</si>
  <si>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</si>
  <si>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</si>
  <si>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</si>
  <si>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</si>
  <si>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</si>
  <si>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</si>
  <si>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</si>
  <si>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</si>
  <si>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</si>
  <si>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</si>
  <si>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</si>
  <si>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</si>
  <si>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</si>
  <si>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</si>
  <si>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</si>
  <si>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</si>
  <si>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</si>
  <si>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</si>
  <si>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</si>
  <si>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</si>
  <si>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</si>
  <si>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</si>
  <si>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</si>
  <si>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</si>
  <si>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</si>
  <si>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</si>
  <si>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</si>
  <si>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</si>
  <si>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</si>
  <si>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</si>
  <si>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</si>
  <si>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</si>
  <si>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</si>
  <si>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</si>
  <si>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</si>
  <si>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</si>
  <si>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</si>
  <si>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</si>
  <si>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</si>
  <si>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</si>
  <si>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</si>
  <si>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</si>
  <si>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</si>
  <si>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</si>
  <si>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</si>
  <si>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</si>
  <si>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</si>
  <si>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</si>
  <si>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</si>
  <si>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</si>
  <si>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</si>
  <si>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</si>
  <si>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</si>
  <si>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</si>
  <si>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</si>
  <si>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</si>
  <si>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</si>
  <si>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</si>
  <si>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</si>
  <si>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</si>
  <si>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</si>
  <si>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</si>
  <si>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</si>
  <si>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</si>
  <si>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</si>
  <si>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</si>
  <si>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</si>
  <si>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</si>
  <si>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</si>
  <si>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</si>
  <si>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</si>
  <si>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</si>
  <si>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</si>
  <si>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</si>
  <si>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</si>
  <si>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</si>
  <si>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</si>
  <si>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</si>
  <si>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</si>
  <si>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</si>
  <si>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</si>
  <si>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</si>
  <si>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</si>
  <si>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</si>
  <si>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</si>
  <si>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</si>
  <si>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</si>
  <si>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</si>
  <si>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</si>
  <si>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</si>
  <si>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</si>
  <si>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</si>
  <si>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</si>
  <si>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</si>
  <si>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</si>
  <si>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</si>
  <si>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</si>
  <si>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</si>
  <si>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</si>
  <si>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</si>
  <si>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</si>
  <si>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</si>
  <si>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</si>
  <si>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</si>
  <si>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</si>
  <si>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</si>
  <si>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</si>
  <si>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</si>
  <si>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</si>
  <si>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</si>
  <si>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</si>
  <si>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</si>
  <si>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</si>
  <si>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</si>
  <si>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</si>
  <si>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</si>
  <si>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</si>
  <si>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</si>
  <si>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</si>
  <si>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</si>
  <si>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</si>
  <si>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</si>
  <si>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</si>
  <si>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</si>
  <si>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</si>
  <si>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</si>
  <si>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</si>
  <si>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</si>
  <si>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</si>
  <si>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</si>
  <si>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</si>
  <si>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</si>
  <si>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</si>
  <si>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</si>
  <si>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</si>
  <si>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</si>
  <si>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</si>
  <si>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</si>
  <si>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</si>
  <si>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</si>
  <si>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</si>
  <si>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</si>
  <si>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</si>
  <si>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</si>
  <si>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</si>
  <si>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</si>
  <si>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</si>
  <si>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</si>
  <si>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</si>
  <si>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</si>
  <si>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</si>
  <si>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</si>
  <si>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</si>
  <si>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</si>
  <si>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</si>
  <si>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</si>
  <si>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</si>
  <si>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</si>
  <si>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</si>
  <si>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</si>
  <si>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</si>
  <si>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</si>
  <si>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</si>
  <si>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</si>
  <si>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</si>
  <si>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</si>
  <si>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</si>
  <si>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</si>
  <si>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</si>
  <si>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</si>
  <si>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</si>
  <si>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</si>
  <si>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</si>
  <si>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</si>
  <si>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</si>
  <si>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</si>
  <si>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</si>
  <si>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</si>
  <si>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</si>
  <si>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</si>
  <si>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</si>
  <si>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</si>
  <si>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</si>
  <si>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</si>
  <si>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</si>
  <si>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</si>
  <si>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</si>
  <si>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</si>
  <si>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</si>
  <si>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</si>
  <si>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</si>
  <si>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</si>
  <si>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</si>
  <si>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</si>
  <si>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</si>
  <si>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</si>
  <si>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</si>
  <si>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</si>
  <si>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</si>
  <si>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</si>
  <si>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</si>
  <si>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</si>
  <si>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</si>
  <si>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</si>
  <si>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</si>
  <si>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</si>
  <si>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</si>
  <si>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</si>
  <si>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</si>
  <si>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</si>
  <si>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</si>
  <si>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</si>
  <si>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</si>
  <si>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</si>
  <si>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</si>
  <si>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</si>
  <si>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</si>
  <si>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</si>
  <si>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</si>
  <si>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</si>
  <si>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</si>
  <si>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</si>
  <si>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</si>
  <si>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</si>
  <si>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</si>
  <si>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</si>
  <si>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</si>
  <si>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</si>
  <si>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</si>
  <si>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</si>
  <si>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</si>
  <si>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</si>
  <si>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</si>
  <si>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</si>
  <si>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</si>
  <si>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</si>
  <si>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</si>
  <si>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</si>
  <si>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</si>
  <si>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</si>
  <si>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</si>
  <si>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</si>
  <si>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</si>
  <si>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</si>
  <si>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</si>
  <si>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</si>
  <si>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</si>
  <si>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</si>
  <si>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</si>
  <si>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</si>
  <si>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</si>
  <si>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</si>
  <si>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</si>
  <si>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</si>
  <si>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</si>
  <si>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</si>
  <si>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</si>
  <si>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</si>
  <si>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</si>
  <si>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</si>
  <si>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</si>
  <si>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</si>
  <si>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</si>
  <si>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</si>
  <si>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</si>
  <si>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</si>
  <si>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</si>
  <si>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</si>
  <si>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</si>
  <si>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</si>
  <si>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</si>
  <si>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</si>
  <si>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</si>
  <si>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</si>
  <si>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</si>
  <si>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</si>
  <si>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</si>
  <si>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</si>
  <si>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</si>
  <si>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</si>
  <si>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</si>
  <si>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</si>
  <si>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</si>
  <si>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</si>
  <si>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</si>
  <si>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</si>
  <si>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</si>
  <si>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</si>
  <si>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</si>
  <si>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</si>
  <si>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</si>
  <si>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</si>
  <si>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</si>
  <si>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</si>
  <si>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</si>
  <si>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</si>
  <si>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</si>
  <si>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</si>
  <si>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</si>
  <si>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</si>
  <si>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</si>
  <si>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</si>
  <si>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</si>
  <si>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</si>
  <si>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</si>
  <si>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</si>
  <si>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</si>
  <si>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</si>
  <si>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</si>
  <si>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</si>
  <si>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</si>
  <si>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</si>
  <si>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</si>
  <si>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</si>
  <si>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</si>
  <si>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</si>
  <si>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</si>
  <si>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</si>
  <si>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</si>
  <si>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</si>
  <si>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</si>
  <si>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</si>
  <si>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</si>
  <si>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</si>
  <si>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</si>
  <si>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</si>
  <si>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</si>
  <si>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</si>
  <si>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</si>
  <si>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</si>
  <si>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</si>
  <si>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</si>
  <si>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</si>
  <si>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</si>
  <si>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</si>
  <si>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</si>
  <si>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</si>
  <si>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</si>
  <si>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</si>
  <si>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</si>
  <si>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</si>
  <si>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</si>
  <si>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</si>
  <si>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</si>
  <si>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</si>
  <si>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</si>
  <si>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</si>
  <si>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</si>
  <si>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</si>
  <si>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</si>
  <si>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</si>
  <si>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</si>
  <si>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</si>
  <si>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</si>
  <si>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</si>
  <si>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</si>
  <si>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</si>
  <si>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</si>
  <si>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</si>
  <si>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</si>
  <si>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</si>
  <si>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</si>
  <si>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</si>
  <si>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</si>
  <si>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</si>
  <si>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</si>
  <si>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</si>
  <si>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</si>
  <si>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</si>
  <si>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</si>
  <si>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</si>
  <si>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</si>
  <si>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</si>
  <si>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</si>
  <si>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</si>
  <si>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</si>
  <si>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</si>
  <si>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</si>
  <si>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</si>
  <si>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</si>
  <si>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</si>
  <si>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</si>
  <si>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</si>
  <si>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</si>
  <si>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</si>
  <si>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</si>
  <si>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</si>
  <si>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</si>
  <si>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</si>
  <si>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</si>
  <si>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</si>
  <si>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</si>
  <si>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</si>
  <si>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</si>
  <si>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</si>
  <si>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</si>
  <si>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</si>
  <si>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</si>
  <si>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</si>
  <si>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</si>
  <si>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</si>
  <si>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</si>
  <si>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</si>
  <si>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</si>
  <si>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</si>
  <si>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</si>
  <si>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</si>
  <si>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</si>
  <si>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</si>
  <si>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</si>
  <si>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</si>
  <si>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</si>
  <si>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</si>
  <si>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</si>
  <si>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</si>
  <si>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</si>
  <si>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</si>
  <si>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</si>
  <si>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</si>
  <si>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</si>
  <si>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</si>
  <si>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</si>
  <si>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</si>
  <si>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</si>
  <si>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</si>
  <si>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</si>
  <si>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</si>
  <si>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</si>
  <si>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</si>
  <si>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</si>
  <si>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</si>
  <si>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</si>
  <si>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</si>
  <si>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</si>
  <si>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</si>
  <si>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</si>
  <si>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</si>
  <si>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</si>
  <si>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</si>
  <si>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</si>
  <si>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</si>
  <si>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</si>
  <si>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</si>
  <si>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</si>
  <si>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</si>
  <si>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</si>
  <si>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</si>
  <si>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</si>
  <si>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</si>
  <si>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</si>
  <si>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</si>
  <si>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</si>
  <si>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</si>
  <si>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</si>
  <si>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</si>
  <si>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</si>
  <si>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</si>
  <si>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</si>
  <si>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</si>
  <si>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</si>
  <si>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</si>
  <si>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</si>
  <si>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</si>
  <si>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</si>
  <si>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</si>
  <si>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</si>
  <si>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</si>
  <si>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</si>
  <si>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</si>
  <si>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</si>
  <si>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</si>
  <si>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</si>
  <si>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</si>
  <si>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</si>
  <si>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</si>
  <si>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</si>
  <si>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</si>
  <si>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</si>
  <si>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</si>
  <si>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</si>
  <si>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</si>
  <si>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</si>
  <si>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</si>
  <si>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</si>
  <si>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</si>
  <si>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</si>
  <si>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</si>
  <si>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</si>
  <si>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</si>
  <si>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</si>
  <si>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</si>
  <si>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</si>
  <si>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</si>
  <si>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</si>
  <si>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</si>
  <si>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</si>
  <si>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</si>
  <si>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</si>
  <si>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</si>
  <si>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</si>
  <si>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</si>
  <si>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</si>
  <si>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</si>
  <si>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</si>
  <si>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</si>
  <si>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</si>
  <si>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</si>
  <si>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</si>
  <si>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</si>
  <si>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</si>
  <si>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</si>
  <si>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</si>
  <si>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</si>
  <si>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</si>
  <si>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</si>
  <si>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</si>
  <si>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</si>
  <si>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</si>
  <si>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</si>
  <si>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</si>
  <si>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</si>
  <si>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</si>
  <si>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</si>
  <si>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</si>
  <si>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</si>
  <si>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</si>
  <si>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</si>
  <si>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</si>
  <si>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</si>
  <si>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</si>
  <si>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</si>
  <si>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</si>
  <si>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</si>
  <si>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</si>
  <si>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</si>
  <si>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</si>
  <si>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</si>
  <si>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</si>
  <si>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</si>
  <si>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</si>
  <si>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</si>
  <si>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</si>
  <si>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</si>
  <si>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</si>
  <si>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</si>
  <si>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</si>
  <si>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</si>
  <si>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</si>
  <si>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</si>
  <si>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</si>
  <si>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</si>
  <si>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</si>
  <si>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</si>
  <si>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</si>
  <si>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</si>
  <si>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</si>
  <si>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</si>
  <si>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</si>
  <si>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</si>
  <si>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</si>
  <si>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</si>
  <si>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</si>
  <si>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</si>
  <si>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</si>
  <si>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</si>
  <si>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</si>
  <si>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</si>
  <si>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</si>
  <si>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</si>
  <si>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</si>
  <si>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</si>
  <si>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</si>
  <si>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</si>
  <si>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</si>
  <si>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</si>
  <si>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</si>
  <si>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</si>
  <si>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</si>
  <si>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</si>
  <si>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</si>
  <si>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</si>
  <si>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</si>
  <si>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</si>
  <si>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</si>
  <si>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</si>
  <si>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</si>
  <si>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</si>
  <si>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</si>
  <si>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</si>
  <si>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</si>
  <si>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</si>
  <si>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</si>
  <si>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</si>
  <si>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</si>
  <si>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</si>
  <si>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</si>
  <si>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</si>
  <si>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</si>
  <si>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</si>
  <si>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</si>
  <si>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</si>
  <si>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</si>
  <si>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</si>
  <si>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</si>
  <si>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</si>
  <si>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</si>
  <si>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</si>
  <si>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</si>
  <si>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</si>
  <si>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</si>
  <si>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</si>
  <si>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</si>
  <si>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</si>
  <si>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</si>
  <si>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</si>
  <si>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</si>
  <si>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</si>
  <si>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</si>
  <si>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</si>
  <si>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</si>
  <si>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</si>
  <si>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</si>
  <si>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</si>
  <si>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</si>
  <si>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</si>
  <si>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</si>
  <si>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</si>
  <si>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</si>
  <si>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</si>
  <si>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</si>
  <si>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</si>
  <si>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</si>
  <si>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</si>
  <si>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</si>
  <si>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</si>
  <si>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</si>
  <si>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</si>
  <si>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</si>
  <si>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</si>
  <si>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</si>
  <si>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</si>
  <si>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</si>
  <si>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</si>
  <si>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</si>
  <si>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</si>
  <si>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</si>
  <si>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</si>
  <si>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</si>
  <si>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</si>
  <si>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</si>
  <si>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</si>
  <si>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</si>
  <si>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</si>
  <si>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</si>
  <si>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</si>
  <si>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</si>
  <si>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</si>
  <si>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</si>
  <si>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</si>
  <si>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</si>
  <si>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</si>
  <si>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</si>
  <si>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</si>
  <si>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</si>
  <si>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</si>
  <si>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</si>
  <si>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</si>
  <si>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</si>
  <si>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</si>
  <si>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</si>
  <si>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</si>
  <si>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</si>
  <si>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</si>
  <si>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</si>
  <si>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</si>
  <si>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</si>
  <si>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</si>
  <si>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</si>
  <si>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</si>
  <si>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</si>
  <si>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</si>
  <si>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</si>
  <si>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</si>
  <si>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</si>
  <si>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</si>
  <si>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</si>
  <si>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</si>
  <si>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</si>
  <si>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</si>
  <si>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</si>
  <si>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</si>
  <si>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</si>
  <si>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</si>
  <si>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</si>
  <si>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</si>
  <si>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</si>
  <si>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</si>
  <si>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</si>
  <si>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</si>
  <si>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</si>
  <si>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</si>
  <si>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</si>
  <si>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</si>
  <si>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</si>
  <si>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</si>
  <si>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</si>
  <si>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</si>
  <si>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</si>
  <si>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</si>
  <si>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</si>
  <si>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</si>
  <si>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</si>
  <si>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</si>
  <si>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</si>
  <si>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</si>
  <si>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</si>
  <si>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</si>
  <si>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</si>
  <si>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</si>
  <si>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</si>
  <si>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</si>
  <si>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</si>
  <si>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</si>
  <si>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</si>
  <si>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</si>
  <si>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</si>
  <si>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</si>
  <si>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</si>
  <si>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</si>
  <si>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</si>
  <si>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</si>
  <si>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</si>
  <si>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</si>
  <si>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</si>
  <si>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</si>
  <si>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</si>
  <si>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</si>
  <si>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</si>
  <si>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</si>
  <si>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</si>
  <si>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</si>
  <si>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</si>
  <si>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</si>
  <si>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</si>
  <si>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</si>
  <si>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</si>
  <si>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</si>
  <si>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</si>
  <si>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</si>
  <si>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</si>
  <si>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</si>
  <si>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</si>
  <si>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</si>
  <si>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</si>
  <si>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</si>
  <si>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</si>
  <si>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</si>
  <si>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</si>
  <si>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</si>
  <si>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</si>
  <si>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</si>
  <si>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</si>
  <si>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</si>
  <si>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</si>
  <si>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</si>
  <si>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</si>
  <si>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</si>
  <si>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</si>
  <si>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</si>
  <si>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</si>
  <si>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</si>
  <si>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</si>
  <si>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</si>
  <si>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</si>
  <si>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</si>
  <si>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</si>
  <si>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</si>
  <si>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</si>
  <si>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</si>
  <si>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</si>
  <si>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</si>
  <si>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</si>
  <si>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</si>
  <si>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</si>
  <si>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</si>
  <si>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</si>
  <si>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</si>
  <si>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</si>
  <si>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</si>
  <si>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</si>
  <si>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</si>
  <si>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</si>
  <si>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</si>
  <si>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</si>
  <si>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</si>
  <si>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</si>
  <si>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</si>
  <si>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</si>
  <si>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</si>
  <si>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</si>
  <si>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</si>
  <si>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</si>
  <si>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</si>
  <si>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</si>
  <si>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</si>
  <si>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</si>
  <si>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</si>
  <si>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</si>
  <si>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</si>
  <si>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</si>
  <si>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</si>
  <si>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</si>
  <si>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</si>
  <si>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</si>
  <si>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</si>
  <si>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</si>
  <si>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</si>
  <si>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</si>
  <si>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</si>
  <si>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</si>
  <si>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</si>
  <si>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</si>
  <si>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</si>
  <si>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</si>
  <si>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</si>
  <si>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</si>
  <si>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</si>
  <si>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</si>
  <si>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</si>
  <si>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</si>
  <si>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</si>
  <si>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</si>
  <si>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</si>
  <si>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</si>
  <si>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</si>
  <si>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</si>
  <si>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</si>
  <si>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</si>
  <si>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</si>
  <si>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</si>
  <si>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</si>
  <si>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</si>
  <si>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</si>
  <si>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</si>
  <si>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</si>
  <si>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</si>
  <si>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</si>
  <si>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</si>
  <si>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</si>
  <si>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</si>
  <si>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</si>
  <si>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</si>
  <si>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</si>
  <si>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</si>
  <si>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</si>
  <si>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</si>
  <si>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</si>
  <si>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</si>
  <si>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</si>
  <si>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</si>
  <si>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</si>
  <si>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</si>
  <si>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</si>
  <si>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</si>
  <si>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</si>
  <si>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</si>
  <si>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</si>
  <si>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</si>
  <si>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</si>
  <si>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</si>
  <si>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</si>
  <si>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</si>
  <si>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</si>
  <si>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</si>
  <si>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</si>
  <si>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</si>
  <si>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</si>
  <si>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</si>
  <si>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</si>
  <si>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</si>
  <si>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</si>
  <si>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</si>
  <si>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</si>
  <si>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</si>
  <si>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</si>
  <si>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</si>
  <si>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</si>
  <si>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</si>
  <si>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</si>
  <si>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</si>
  <si>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</si>
  <si>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</si>
  <si>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</si>
  <si>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</si>
  <si>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</si>
  <si>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</si>
  <si>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</si>
  <si>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</si>
  <si>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</si>
  <si>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</si>
  <si>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</si>
  <si>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</si>
  <si>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</si>
  <si>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</si>
  <si>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</si>
  <si>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</si>
  <si>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</si>
  <si>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</si>
  <si>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</si>
  <si>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</si>
  <si>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</si>
  <si>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</si>
  <si>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</si>
  <si>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</si>
  <si>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</si>
  <si>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</si>
  <si>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</si>
  <si>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</si>
  <si>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</si>
  <si>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</si>
  <si>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</si>
  <si>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</si>
  <si>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</si>
  <si>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</si>
  <si>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</si>
  <si>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</si>
  <si>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</si>
  <si>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</si>
  <si>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</si>
  <si>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</si>
  <si>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</si>
  <si>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</si>
  <si>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</si>
  <si>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</si>
  <si>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</si>
  <si>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</si>
  <si>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</si>
  <si>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</si>
  <si>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</si>
  <si>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</si>
  <si>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</si>
  <si>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</si>
  <si>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</si>
  <si>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</si>
  <si>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</si>
  <si>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</si>
  <si>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</si>
  <si>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</si>
  <si>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</si>
  <si>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</si>
  <si>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</si>
  <si>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</si>
  <si>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</si>
  <si>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</si>
  <si>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</si>
  <si>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</si>
  <si>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</si>
  <si>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</si>
  <si>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</si>
  <si>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</si>
  <si>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</si>
  <si>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</si>
  <si>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</si>
  <si>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</si>
  <si>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</si>
  <si>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</si>
  <si>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</si>
  <si>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</si>
  <si>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</si>
  <si>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</si>
  <si>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</si>
  <si>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</si>
  <si>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</si>
  <si>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</si>
  <si>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</si>
  <si>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</si>
  <si>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</si>
  <si>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</si>
  <si>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</si>
  <si>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</si>
  <si>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</si>
  <si>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</si>
  <si>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</si>
  <si>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</si>
  <si>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</si>
  <si>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</si>
  <si>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</si>
  <si>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</si>
  <si>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</si>
  <si>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</si>
  <si>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</si>
  <si>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</si>
  <si>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</si>
  <si>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</si>
  <si>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</si>
  <si>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</si>
  <si>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</si>
  <si>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</si>
  <si>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</si>
  <si>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</si>
  <si>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</si>
  <si>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</si>
  <si>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</si>
  <si>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</si>
  <si>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</si>
  <si>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</si>
  <si>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</si>
  <si>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</si>
  <si>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</si>
  <si>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</si>
  <si>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</si>
  <si>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</si>
  <si>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</si>
  <si>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</si>
  <si>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</si>
  <si>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</si>
  <si>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</si>
  <si>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</si>
  <si>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</si>
  <si>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</si>
  <si>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</si>
  <si>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</si>
  <si>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</si>
  <si>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</si>
  <si>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</si>
  <si>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</si>
  <si>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</si>
  <si>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</si>
  <si>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</si>
  <si>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</si>
  <si>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</si>
  <si>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</si>
  <si>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</si>
  <si>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</si>
  <si>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</si>
  <si>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</si>
  <si>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</si>
  <si>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</si>
  <si>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</si>
  <si>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</si>
  <si>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</si>
  <si>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</si>
  <si>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</si>
  <si>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</si>
  <si>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</si>
  <si>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</si>
  <si>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</si>
  <si>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</si>
  <si>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</si>
  <si>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</si>
  <si>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</si>
  <si>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</si>
  <si>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</si>
  <si>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</si>
  <si>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</si>
  <si>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</si>
  <si>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</si>
  <si>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</si>
  <si>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</si>
  <si>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</si>
  <si>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</si>
  <si>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</si>
  <si>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</si>
  <si>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</si>
  <si>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</si>
  <si>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</si>
  <si>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</si>
  <si>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</si>
  <si>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</si>
  <si>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</si>
  <si>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</si>
  <si>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</si>
  <si>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</si>
  <si>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</si>
  <si>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</si>
  <si>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</si>
  <si>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</si>
  <si>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</si>
  <si>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</si>
  <si>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</si>
  <si>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</si>
  <si>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</si>
  <si>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</si>
  <si>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</si>
  <si>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</si>
  <si>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</si>
  <si>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</si>
  <si>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</si>
  <si>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</si>
  <si>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</si>
  <si>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</si>
  <si>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</si>
  <si>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</si>
  <si>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</si>
  <si>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</si>
  <si>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</si>
  <si>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</si>
  <si>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</si>
  <si>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</si>
  <si>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</si>
  <si>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</si>
  <si>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</si>
  <si>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</si>
  <si>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</si>
  <si>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</si>
  <si>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</si>
  <si>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</si>
  <si>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</si>
  <si>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</si>
  <si>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</si>
  <si>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</si>
  <si>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</si>
  <si>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</si>
  <si>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</si>
  <si>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</si>
  <si>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</si>
  <si>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</si>
  <si>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</si>
  <si>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</si>
  <si>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</si>
  <si>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</si>
  <si>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</si>
  <si>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</si>
  <si>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</si>
  <si>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</si>
  <si>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</si>
  <si>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</si>
  <si>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</si>
  <si>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</si>
  <si>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</si>
  <si>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</si>
  <si>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</si>
  <si>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</si>
  <si>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</si>
  <si>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</si>
  <si>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</si>
  <si>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</si>
  <si>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</si>
  <si>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</si>
  <si>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</si>
  <si>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</si>
  <si>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</si>
  <si>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</si>
  <si>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</si>
  <si>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</si>
  <si>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</si>
  <si>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</si>
  <si>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</si>
  <si>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</si>
  <si>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</si>
  <si>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</si>
  <si>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</si>
  <si>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</si>
  <si>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</si>
  <si>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</si>
  <si>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</si>
  <si>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</si>
  <si>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</si>
  <si>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</si>
  <si>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</si>
  <si>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</si>
  <si>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</si>
  <si>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</si>
  <si>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</si>
  <si>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</si>
  <si>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</si>
  <si>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</si>
  <si>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</si>
  <si>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</si>
  <si>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</si>
  <si>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</si>
  <si>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</si>
  <si>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</si>
  <si>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</si>
  <si>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</si>
  <si>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</si>
  <si>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</si>
  <si>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</si>
  <si>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</si>
  <si>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</si>
  <si>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</si>
  <si>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</si>
  <si>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</si>
  <si>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</si>
  <si>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</si>
  <si>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</si>
  <si>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</si>
  <si>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</si>
  <si>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</si>
  <si>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</si>
  <si>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</si>
  <si>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</si>
  <si>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</si>
  <si>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</si>
  <si>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</si>
  <si>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</si>
  <si>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</si>
  <si>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</si>
  <si>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</si>
  <si>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</si>
  <si>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</si>
  <si>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</si>
  <si>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</si>
  <si>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</si>
  <si>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</si>
  <si>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</si>
  <si>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</si>
  <si>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</si>
  <si>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</si>
  <si>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</si>
  <si>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</si>
  <si>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</si>
  <si>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</si>
  <si>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</si>
  <si>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</si>
  <si>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</si>
  <si>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</si>
  <si>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</si>
  <si>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</si>
  <si>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</si>
  <si>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</si>
  <si>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</si>
  <si>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</si>
  <si>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</si>
  <si>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</si>
  <si>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</si>
  <si>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</si>
  <si>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</si>
  <si>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</si>
  <si>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</si>
  <si>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</si>
  <si>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</si>
  <si>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</si>
  <si>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</si>
  <si>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</si>
  <si>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</si>
  <si>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</si>
  <si>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</si>
  <si>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</si>
  <si>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</si>
  <si>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</si>
  <si>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</si>
  <si>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</si>
  <si>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</si>
  <si>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</si>
  <si>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</si>
  <si>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</si>
  <si>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</si>
  <si>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</si>
  <si>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</si>
  <si>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</si>
  <si>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</si>
  <si>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</si>
  <si>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</si>
  <si>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</si>
  <si>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</si>
  <si>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</si>
  <si>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</si>
  <si>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</si>
  <si>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</si>
  <si>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</si>
  <si>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</si>
  <si>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</si>
  <si>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</si>
  <si>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</si>
  <si>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</si>
  <si>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</si>
  <si>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</si>
  <si>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</si>
  <si>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</si>
  <si>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</si>
  <si>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</si>
  <si>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</si>
  <si>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</si>
  <si>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</si>
  <si>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</si>
  <si>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</si>
  <si>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</si>
  <si>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</si>
  <si>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</si>
  <si>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</si>
  <si>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</si>
  <si>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</si>
  <si>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</si>
  <si>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</si>
  <si>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</si>
  <si>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</si>
  <si>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</si>
  <si>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</si>
  <si>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</si>
  <si>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</si>
  <si>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</si>
  <si>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</si>
  <si>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</si>
  <si>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</si>
  <si>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</si>
  <si>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</si>
  <si>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</si>
  <si>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</si>
  <si>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</si>
  <si>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</si>
  <si>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</si>
  <si>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</si>
  <si>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</si>
  <si>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</si>
  <si>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</si>
  <si>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</si>
  <si>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</si>
  <si>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</si>
  <si>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</si>
  <si>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</si>
  <si>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</si>
  <si>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</si>
  <si>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</si>
  <si>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</si>
  <si>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</si>
  <si>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</si>
  <si>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</si>
  <si>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</si>
  <si>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</si>
  <si>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</si>
  <si>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</si>
  <si>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</si>
  <si>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</si>
  <si>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</si>
  <si>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Czech Rep.</t>
  </si>
  <si>
    <t>Checa</t>
  </si>
  <si>
    <t>Ceca</t>
  </si>
  <si>
    <t>Rép. Tchèque</t>
  </si>
  <si>
    <t>Tschechien</t>
  </si>
  <si>
    <t>Tsjechië</t>
  </si>
  <si>
    <t>Rep. of Korea</t>
  </si>
  <si>
    <t>Rep. de Corea</t>
  </si>
  <si>
    <t>Rep. di Corea</t>
  </si>
  <si>
    <t>Rép. de Corée</t>
  </si>
  <si>
    <t>Südkorea</t>
  </si>
  <si>
    <t>hb/vers. 4.2.1
2026-04-01</t>
  </si>
  <si>
    <t>wedstr</t>
  </si>
  <si>
    <t>Naam: &gt;&gt;</t>
  </si>
  <si>
    <t>nr.</t>
  </si>
  <si>
    <t>Groepsronde</t>
  </si>
  <si>
    <t>Groep A</t>
  </si>
  <si>
    <t>-</t>
  </si>
  <si>
    <t>Eindstand Groep A</t>
  </si>
  <si>
    <t>Land</t>
  </si>
  <si>
    <t xml:space="preserve">  Pnt     Dv-Dt</t>
  </si>
  <si>
    <t>Groep B</t>
  </si>
  <si>
    <t>Eindstand Groep B</t>
  </si>
  <si>
    <t>Groep C</t>
  </si>
  <si>
    <t>Eindstand Groep C</t>
  </si>
  <si>
    <t>FIFA regels ranglijst groepsfase</t>
  </si>
  <si>
    <t>Groep D</t>
  </si>
  <si>
    <t>Eindstand Groep D</t>
  </si>
  <si>
    <t>behaalde aantal punten</t>
  </si>
  <si>
    <t>Onderling resultaat</t>
  </si>
  <si>
    <t>Doelsaldo</t>
  </si>
  <si>
    <t>Gescoorde doelpunten</t>
  </si>
  <si>
    <t xml:space="preserve">5. </t>
  </si>
  <si>
    <t>Fair Play</t>
  </si>
  <si>
    <t>Fifa ranglijst</t>
  </si>
  <si>
    <t>Groep E</t>
  </si>
  <si>
    <t>Eindstand Groep E</t>
  </si>
  <si>
    <t>Groep F</t>
  </si>
  <si>
    <t>Eindstand Groep F</t>
  </si>
  <si>
    <t>Groep G</t>
  </si>
  <si>
    <t>Eindstand Groep G</t>
  </si>
  <si>
    <t>Groep H</t>
  </si>
  <si>
    <t>Eindstand Groep H</t>
  </si>
  <si>
    <t>Groep I</t>
  </si>
  <si>
    <t>Eindstand Groep I</t>
  </si>
  <si>
    <t>Groep J</t>
  </si>
  <si>
    <t>Eindstand Groep J</t>
  </si>
  <si>
    <t>Groep K</t>
  </si>
  <si>
    <t>Eindstand Groep K</t>
  </si>
  <si>
    <t>Groep L</t>
  </si>
  <si>
    <t>Eindstand Groep L</t>
  </si>
  <si>
    <t>naar Achtste Finale</t>
  </si>
  <si>
    <t>Halve Finale</t>
  </si>
  <si>
    <t>Om 3e en 4e plaats</t>
  </si>
  <si>
    <t>Kampioen</t>
  </si>
  <si>
    <t>FIFA RANGLIJST PER 1.4.2026</t>
  </si>
  <si>
    <t>Tjsechië</t>
  </si>
  <si>
    <t>Zuid-Korea</t>
  </si>
  <si>
    <t>Bosnië/Herz.</t>
  </si>
  <si>
    <t>Zuid -Afrika</t>
  </si>
  <si>
    <t>Nr.</t>
  </si>
  <si>
    <t>Punten</t>
  </si>
  <si>
    <t>Iran</t>
  </si>
  <si>
    <t>Congo</t>
  </si>
  <si>
    <t>naar Halve Finale</t>
  </si>
  <si>
    <t>naarKwart Finale</t>
  </si>
  <si>
    <t xml:space="preserve">naar Finale </t>
  </si>
  <si>
    <t>naar 3e en 4e Plaats</t>
  </si>
  <si>
    <t>PUNTENTELLING aangepast voor de W.K. 2026</t>
  </si>
  <si>
    <t>PUNTENTELLING AANGEPAST I.V.M. MEERDERE AANTAL WEDSTRIJDEN</t>
  </si>
  <si>
    <t>Voorronde:</t>
  </si>
  <si>
    <t>goede toto:</t>
  </si>
  <si>
    <t>10 pnt.</t>
  </si>
  <si>
    <t>goede uitslag:</t>
  </si>
  <si>
    <t xml:space="preserve">15 pnt. </t>
  </si>
  <si>
    <t>max. 728 x 15 pnt.</t>
  </si>
  <si>
    <t>pnt.</t>
  </si>
  <si>
    <t>Zestiende finale:</t>
  </si>
  <si>
    <t>juiste land/juiste plaats</t>
  </si>
  <si>
    <t xml:space="preserve">  5  pnt.</t>
  </si>
  <si>
    <t>Ook ouders, oma's, opa's, neefjes, nichtjes, kennissen mogen hieraan deelnemen.</t>
  </si>
  <si>
    <t>goede uitslag</t>
  </si>
  <si>
    <t xml:space="preserve">20 pnt. </t>
  </si>
  <si>
    <t>max.    16 x 30  pnt.</t>
  </si>
  <si>
    <t>WAAG UW KANS……………………………..DOE MEE !!!</t>
  </si>
  <si>
    <t>Achtste finale:</t>
  </si>
  <si>
    <t>10  pnt.</t>
  </si>
  <si>
    <t>max       8 x 40 pnt.</t>
  </si>
  <si>
    <t>Kwartfinale:</t>
  </si>
  <si>
    <t xml:space="preserve">max.      4 x 60 pnt. </t>
  </si>
  <si>
    <t>Halve finale:</t>
  </si>
  <si>
    <t>20 pnt.</t>
  </si>
  <si>
    <t xml:space="preserve">HET INSCHRIJFGELD VAN € 5,00 KUNT U STORTEN OP </t>
  </si>
  <si>
    <t xml:space="preserve">max.      2 x 60 pnt. </t>
  </si>
  <si>
    <t>Om 3e en 4e plaats:</t>
  </si>
  <si>
    <t>NIET VERGETEN</t>
  </si>
  <si>
    <t>30 pnt.</t>
  </si>
  <si>
    <t xml:space="preserve">HIERONDER UW VOORNAAM/VOORLETTER, </t>
  </si>
  <si>
    <t>ACHTERNAAM EN WOONPLAATS IN TE VULLEN</t>
  </si>
  <si>
    <t>max.      1 x 80 pnt.</t>
  </si>
  <si>
    <t>© Auteursrecht: Wim de Groot</t>
  </si>
  <si>
    <t>Finale:</t>
  </si>
  <si>
    <t>Voornaam/Voorletter:</t>
  </si>
  <si>
    <t xml:space="preserve">max.      1 x 80 pnt. </t>
  </si>
  <si>
    <t>Achternaam:</t>
  </si>
  <si>
    <t>Kampioen:</t>
  </si>
  <si>
    <t>juiste naam:</t>
  </si>
  <si>
    <t>100 pnt.</t>
  </si>
  <si>
    <t>max.   1 x 100 pnt.</t>
  </si>
  <si>
    <t>U hoeft in Blad 2 , NKC Wkpool-2026 , alleen de witte vakjes (uitslagen) in te vullen</t>
  </si>
  <si>
    <t xml:space="preserve">Het maximum aantal te behalen punten is </t>
  </si>
  <si>
    <t xml:space="preserve">Vanaf de Zestiende Finale ziet u bij een gelijkspel een wit vlak </t>
  </si>
  <si>
    <t>kies winnaar &gt;&gt;</t>
  </si>
  <si>
    <t>Woonplaats:</t>
  </si>
  <si>
    <t xml:space="preserve">               Telefoonnummer:</t>
  </si>
  <si>
    <t>DE BAMZAAIERS, IN SAMENWERKING MET FRITS HOFSTEDE EN  AB FEITH</t>
  </si>
  <si>
    <t>STARTEN MET DE W.K. VOETBALPOOL 2026</t>
  </si>
  <si>
    <t>Kosten per ingevuld formulier zijn € 5,00</t>
  </si>
  <si>
    <t>Er zijn weer schitterende prijzen te winnen.</t>
  </si>
  <si>
    <t>Middels een tussenstand houden wij u wekelijks op de hoogte via ons clubblad</t>
  </si>
  <si>
    <t>Dit moet u ook weten:</t>
  </si>
  <si>
    <t xml:space="preserve">Iedereen mag meerdere formulieren invullen. </t>
  </si>
  <si>
    <t>Hoe meer deelnemers, hoe groter de spanning!</t>
  </si>
  <si>
    <t xml:space="preserve">INLEVEREN UITERLIJK DONDERDAG  10 JUNI  </t>
  </si>
  <si>
    <t>U DIENT ZELF TE ZORGEN VOOR EEN KOPIE VOOR THUISGEBRUIK</t>
  </si>
  <si>
    <t>REKENINGNUMMER:     NL02 SNSB 0937 7424 81    T.N.V. FEITH</t>
  </si>
  <si>
    <t>W .K. VOETBALPOOL      CANADA     MEXICO     USA        2026</t>
  </si>
  <si>
    <t>WIJ WENSEN U ALVAST VEEL PLEZIER MET UW POOL</t>
  </si>
  <si>
    <t xml:space="preserve">                                       HET INVULLEN GAAT DAN GEHEEL AUTOMATISCH</t>
  </si>
  <si>
    <r>
      <t xml:space="preserve">   OMDAT ER NA DE POULFASE NOG</t>
    </r>
    <r>
      <rPr>
        <b/>
        <sz val="11.5"/>
        <color rgb="FFFF0000"/>
        <rFont val="Calibri"/>
        <family val="2"/>
        <scheme val="minor"/>
      </rPr>
      <t xml:space="preserve"> 8</t>
    </r>
    <r>
      <rPr>
        <b/>
        <sz val="11.5"/>
        <color theme="1"/>
        <rFont val="Calibri"/>
        <family val="2"/>
        <scheme val="minor"/>
      </rPr>
      <t xml:space="preserve"> LANDEN    ALS</t>
    </r>
    <r>
      <rPr>
        <b/>
        <sz val="11.5"/>
        <color rgb="FFFF0000"/>
        <rFont val="Calibri"/>
        <family val="2"/>
        <scheme val="minor"/>
      </rPr>
      <t xml:space="preserve"> 3e</t>
    </r>
    <r>
      <rPr>
        <b/>
        <sz val="11.5"/>
        <color theme="1"/>
        <rFont val="Calibri"/>
        <family val="2"/>
        <scheme val="minor"/>
      </rPr>
      <t xml:space="preserve"> GEPLAATSE DOORGAAN,</t>
    </r>
  </si>
  <si>
    <r>
      <t xml:space="preserve">                                            EN HIER    </t>
    </r>
    <r>
      <rPr>
        <b/>
        <sz val="11.5"/>
        <color rgb="FFFF0000"/>
        <rFont val="Calibri"/>
        <family val="2"/>
        <scheme val="minor"/>
      </rPr>
      <t>495</t>
    </r>
    <r>
      <rPr>
        <b/>
        <sz val="11.5"/>
        <color theme="1"/>
        <rFont val="Calibri"/>
        <family val="2"/>
        <scheme val="minor"/>
      </rPr>
      <t xml:space="preserve"> MOGELIJKHEDEN VOOR ZIJN</t>
    </r>
  </si>
  <si>
    <r>
      <t xml:space="preserve">                           </t>
    </r>
    <r>
      <rPr>
        <b/>
        <sz val="11.5"/>
        <color rgb="FFFF0000"/>
        <rFont val="Calibri"/>
        <family val="2"/>
        <scheme val="minor"/>
      </rPr>
      <t>IS DEZE VOETBALPOO</t>
    </r>
    <r>
      <rPr>
        <b/>
        <sz val="11.5"/>
        <rFont val="Calibri"/>
        <family val="2"/>
        <scheme val="minor"/>
      </rPr>
      <t xml:space="preserve">L </t>
    </r>
    <r>
      <rPr>
        <b/>
        <sz val="11.5"/>
        <color rgb="FFFF0000"/>
        <rFont val="Calibri"/>
        <family val="2"/>
        <scheme val="minor"/>
      </rPr>
      <t>ALLEEN DIGITAAL BESCHIKBAAR</t>
    </r>
  </si>
  <si>
    <r>
      <t xml:space="preserve"> onder vermelding van </t>
    </r>
    <r>
      <rPr>
        <b/>
        <i/>
        <sz val="13"/>
        <color theme="0"/>
        <rFont val="Calibri"/>
        <family val="2"/>
      </rPr>
      <t>voetbalpool</t>
    </r>
  </si>
  <si>
    <t>DEZE VOETBALPOOL MET VEEL ACHTERLIGGENDE FORMULES</t>
  </si>
  <si>
    <t xml:space="preserve"> IS GEMAAKT DOOR:HERMANN BAUM  UIT DUITSLAND                </t>
  </si>
  <si>
    <t>EN BEWERKT VOOR NKC'51 DOOR AB FEITH</t>
  </si>
  <si>
    <t>Maple</t>
  </si>
  <si>
    <t>VOOR ALLE WEDSTRIJDEN</t>
  </si>
  <si>
    <t xml:space="preserve"> TELT DE UITSLAG NA 90 MINUTEN</t>
  </si>
  <si>
    <t>SUCCES</t>
  </si>
  <si>
    <t xml:space="preserve"> MET HET INVULLEN VAN DE JUISTE UITSLAGEN</t>
  </si>
  <si>
    <t xml:space="preserve">    Zayu           Clutch</t>
  </si>
  <si>
    <t xml:space="preserve">Klik ernaast in het witte vlak en klik op de              en  selecteer die ploeg welke doorgaat </t>
  </si>
  <si>
    <t>Voor vragen kunt u  terecht bij:</t>
  </si>
  <si>
    <t>Frits Hofstede         0548-12038</t>
  </si>
  <si>
    <t>Ab Feith                  06-24171247</t>
  </si>
  <si>
    <t xml:space="preserve">wedstr.nr.  </t>
  </si>
  <si>
    <t xml:space="preserve">  Maple             Zayu                Clutch</t>
  </si>
  <si>
    <t xml:space="preserve">wedstr. </t>
  </si>
  <si>
    <t>voorsp.</t>
  </si>
  <si>
    <t>nkc51-voetbalpool@feith.nu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</si>
</sst>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4" formatCode="00.00.00.000"/>
    <numFmt numFmtId="175" formatCode="[$-413]d/mmm;@"/>
    <numFmt numFmtId="176" formatCode="d/m;@"/>
  </numFmts>
  <fonts count="152">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1"/>
      <color rgb="FF000000"/>
      <name val="Calibri"/>
      <family val="2"/>
    </font>
    <font>
      <sz val="11"/>
      <name val="Calibri"/>
      <family val="2"/>
    </font>
    <font>
      <sz val="11"/>
      <color rgb="FFFFFF66"/>
      <name val="Calibri"/>
      <family val="2"/>
      <scheme val="minor"/>
    </font>
    <font>
      <b/>
      <sz val="10"/>
      <color rgb="FF000000"/>
      <name val="Calibri"/>
      <family val="2"/>
    </font>
    <font>
      <sz val="11"/>
      <color rgb="FFFFFF99"/>
      <name val="Calibri"/>
      <family val="2"/>
      <scheme val="minor"/>
    </font>
    <font>
      <b/>
      <sz val="11"/>
      <color rgb="FFFFFF00"/>
      <name val="Calibri"/>
      <family val="2"/>
      <scheme val="minor"/>
    </font>
    <font>
      <b/>
      <sz val="14"/>
      <color theme="2" tint="-0.749992370372631"/>
      <name val="Calibri"/>
      <family val="2"/>
      <scheme val="minor"/>
    </font>
    <font>
      <sz val="11"/>
      <color rgb="FF009900"/>
      <name val="Calibri"/>
      <family val="2"/>
      <scheme val="minor"/>
    </font>
    <font>
      <b/>
      <sz val="11"/>
      <color rgb="FF009900"/>
      <name val="Calibri"/>
      <family val="2"/>
      <scheme val="minor"/>
    </font>
    <font>
      <sz val="11"/>
      <color theme="0"/>
      <name val="Calibri"/>
      <family val="2"/>
      <scheme val="minor"/>
    </font>
    <font>
      <b/>
      <sz val="13"/>
      <color theme="1"/>
      <name val="Calibri"/>
      <family val="2"/>
      <scheme val="minor"/>
    </font>
    <font>
      <b/>
      <sz val="15"/>
      <color theme="1"/>
      <name val="Calibri"/>
      <family val="2"/>
      <scheme val="minor"/>
    </font>
    <font>
      <b/>
      <sz val="16"/>
      <color theme="1"/>
      <name val="Calibri"/>
      <family val="2"/>
      <scheme val="minor"/>
    </font>
    <font>
      <b/>
      <u/>
      <sz val="14"/>
      <color indexed="12"/>
      <name val="Calibri"/>
      <family val="2"/>
      <scheme val="minor"/>
    </font>
    <font>
      <b/>
      <sz val="14"/>
      <color rgb="FFFF0000"/>
      <name val="Calibri"/>
      <family val="2"/>
      <scheme val="minor"/>
    </font>
    <font>
      <b/>
      <sz val="15"/>
      <color rgb="FFFF0000"/>
      <name val="Calibri"/>
      <family val="2"/>
      <scheme val="minor"/>
    </font>
    <font>
      <b/>
      <sz val="16"/>
      <color rgb="FFFF0000"/>
      <name val="Calibri"/>
      <family val="2"/>
      <scheme val="minor"/>
    </font>
    <font>
      <b/>
      <sz val="18"/>
      <color theme="1"/>
      <name val="Calibri"/>
      <family val="2"/>
      <scheme val="minor"/>
    </font>
    <font>
      <b/>
      <sz val="14"/>
      <name val="Calibri"/>
      <family val="2"/>
      <scheme val="minor"/>
    </font>
    <font>
      <b/>
      <sz val="11"/>
      <color rgb="FFFFFFFF"/>
      <name val="Calibri"/>
      <family val="2"/>
      <scheme val="minor"/>
    </font>
    <font>
      <b/>
      <sz val="14"/>
      <color rgb="FFFFFFFF"/>
      <name val="Calibri"/>
      <family val="2"/>
      <scheme val="minor"/>
    </font>
    <font>
      <b/>
      <sz val="14"/>
      <color rgb="FFFFFF99"/>
      <name val="Calibri"/>
      <family val="2"/>
      <scheme val="minor"/>
    </font>
    <font>
      <b/>
      <sz val="11.5"/>
      <name val="Calibri"/>
      <family val="2"/>
      <scheme val="minor"/>
    </font>
    <font>
      <b/>
      <sz val="11.5"/>
      <color theme="1"/>
      <name val="Calibri"/>
      <family val="2"/>
      <scheme val="minor"/>
    </font>
    <font>
      <b/>
      <sz val="11.5"/>
      <color rgb="FFFF0000"/>
      <name val="Calibri"/>
      <family val="2"/>
      <scheme val="minor"/>
    </font>
    <font>
      <b/>
      <sz val="12"/>
      <color theme="0"/>
      <name val="Calibri"/>
      <family val="2"/>
    </font>
    <font>
      <b/>
      <i/>
      <sz val="12"/>
      <color theme="0"/>
      <name val="Calibri"/>
      <family val="2"/>
      <scheme val="minor"/>
    </font>
    <font>
      <b/>
      <sz val="13"/>
      <color theme="0"/>
      <name val="Calibri"/>
      <family val="2"/>
    </font>
    <font>
      <b/>
      <i/>
      <sz val="13"/>
      <color theme="0"/>
      <name val="Calibri"/>
      <family val="2"/>
    </font>
    <font>
      <sz val="11"/>
      <color rgb="FF008000"/>
      <name val="Calibri"/>
      <family val="2"/>
      <scheme val="minor"/>
    </font>
    <font>
      <b/>
      <sz val="12"/>
      <color rgb="FFFF0000"/>
      <name val="Calibri"/>
      <family val="2"/>
      <scheme val="minor"/>
    </font>
    <font>
      <b/>
      <u/>
      <sz val="14"/>
      <color theme="0"/>
      <name val="Calibri"/>
      <family val="2"/>
      <scheme val="minor"/>
    </font>
  </fonts>
  <fills count="48">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CCFFFF"/>
        <bgColor indexed="64"/>
      </patternFill>
    </fill>
    <fill>
      <patternFill patternType="solid">
        <fgColor rgb="FFFFFF99"/>
        <bgColor rgb="FFFFFF00"/>
      </patternFill>
    </fill>
    <fill>
      <patternFill patternType="solid">
        <fgColor rgb="FF009900"/>
        <bgColor indexed="64"/>
      </patternFill>
    </fill>
    <fill>
      <patternFill patternType="solid">
        <fgColor rgb="FFCCFFFF"/>
        <bgColor rgb="FFCCFFFF"/>
      </patternFill>
    </fill>
    <fill>
      <patternFill patternType="solid">
        <fgColor rgb="FF32AF00"/>
        <bgColor indexed="64"/>
      </patternFill>
    </fill>
    <fill>
      <patternFill patternType="solid">
        <fgColor rgb="FF32AF00"/>
        <bgColor rgb="FFFFFF99"/>
      </patternFill>
    </fill>
    <fill>
      <patternFill patternType="solid">
        <fgColor rgb="FFFFC000"/>
        <bgColor indexed="64"/>
      </patternFill>
    </fill>
    <fill>
      <patternFill patternType="solid">
        <fgColor rgb="FFCCFFFF"/>
        <bgColor rgb="FFFFFF99"/>
      </patternFill>
    </fill>
    <fill>
      <patternFill patternType="solid">
        <fgColor rgb="FFFFFF99"/>
        <bgColor rgb="FFFFFF99"/>
      </patternFill>
    </fill>
    <fill>
      <patternFill patternType="solid">
        <fgColor rgb="FFFFFF66"/>
        <bgColor rgb="FFFFFF99"/>
      </patternFill>
    </fill>
    <fill>
      <patternFill patternType="solid">
        <fgColor rgb="FF009900"/>
        <bgColor rgb="FFFFFF99"/>
      </patternFill>
    </fill>
    <fill>
      <patternFill patternType="solid">
        <fgColor rgb="FFCCFFFF"/>
        <bgColor rgb="FF008000"/>
      </patternFill>
    </fill>
    <fill>
      <patternFill patternType="solid">
        <fgColor rgb="FF0033CC"/>
        <bgColor indexed="64"/>
      </patternFill>
    </fill>
  </fills>
  <borders count="41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right style="thin">
        <color rgb="FF000000"/>
      </right>
      <top style="thin">
        <color indexed="64"/>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1436">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120" fillId="38" borderId="329" xfId="0" applyFont="1" applyFill="1" applyBorder="1" applyAlignment="1">
      <alignment horizontal="center"/>
    </xf>
    <xf numFmtId="0" fontId="120" fillId="38" borderId="330" xfId="0" applyFont="1" applyFill="1" applyBorder="1" applyAlignment="1">
      <alignment horizontal="center"/>
    </xf>
    <xf numFmtId="0" fontId="120" fillId="38" borderId="330" xfId="0" applyFont="1" applyFill="1" applyBorder="1" applyAlignment="1"/>
    <xf numFmtId="0" fontId="123" fillId="38" borderId="330" xfId="0" applyFont="1" applyFill="1" applyBorder="1" applyAlignment="1"/>
    <xf numFmtId="16" fontId="0" fillId="8" borderId="336" xfId="0" applyNumberFormat="1" applyFill="1" applyBorder="1" applyAlignment="1">
      <alignment horizontal="center"/>
    </xf>
    <xf numFmtId="0" fontId="0" fillId="8" borderId="253" xfId="0" applyFill="1" applyBorder="1"/>
    <xf numFmtId="0" fontId="0" fillId="8" borderId="336" xfId="0" applyFill="1" applyBorder="1"/>
    <xf numFmtId="0" fontId="0" fillId="22" borderId="253" xfId="0" applyFill="1" applyBorder="1" applyAlignment="1">
      <alignment horizontal="center"/>
    </xf>
    <xf numFmtId="0" fontId="0" fillId="22" borderId="336" xfId="0" applyFill="1" applyBorder="1" applyAlignment="1">
      <alignment horizontal="center"/>
    </xf>
    <xf numFmtId="0" fontId="4" fillId="8" borderId="0" xfId="0" applyFont="1" applyFill="1" applyBorder="1" applyAlignment="1">
      <alignment horizontal="center"/>
    </xf>
    <xf numFmtId="16" fontId="0" fillId="8" borderId="337" xfId="0" applyNumberFormat="1" applyFill="1" applyBorder="1" applyAlignment="1">
      <alignment horizontal="center"/>
    </xf>
    <xf numFmtId="0" fontId="0" fillId="8" borderId="0" xfId="0" applyFill="1" applyBorder="1"/>
    <xf numFmtId="0" fontId="0" fillId="8" borderId="337" xfId="0" applyFill="1" applyBorder="1"/>
    <xf numFmtId="0" fontId="0" fillId="22" borderId="0" xfId="0" applyFill="1" applyBorder="1" applyAlignment="1">
      <alignment horizontal="center"/>
    </xf>
    <xf numFmtId="0" fontId="0" fillId="22" borderId="337" xfId="0" applyFill="1" applyBorder="1" applyAlignment="1">
      <alignment horizontal="center"/>
    </xf>
    <xf numFmtId="1" fontId="4" fillId="35" borderId="329" xfId="0" applyNumberFormat="1" applyFont="1" applyFill="1" applyBorder="1" applyAlignment="1">
      <alignment horizontal="center"/>
    </xf>
    <xf numFmtId="0" fontId="4" fillId="35" borderId="330" xfId="0" applyFont="1" applyFill="1" applyBorder="1" applyAlignment="1"/>
    <xf numFmtId="0" fontId="4" fillId="35" borderId="331" xfId="0" applyFont="1" applyFill="1" applyBorder="1"/>
    <xf numFmtId="0" fontId="0" fillId="8" borderId="323" xfId="0" applyFill="1" applyBorder="1" applyAlignment="1">
      <alignment horizontal="center"/>
    </xf>
    <xf numFmtId="0" fontId="0" fillId="8" borderId="334" xfId="0" applyFill="1" applyBorder="1" applyAlignment="1">
      <alignment horizontal="left"/>
    </xf>
    <xf numFmtId="0" fontId="0" fillId="8" borderId="336" xfId="0" applyFont="1" applyFill="1" applyBorder="1" applyAlignment="1">
      <alignment horizontal="left"/>
    </xf>
    <xf numFmtId="0" fontId="0" fillId="8" borderId="327" xfId="0" applyFill="1" applyBorder="1" applyAlignment="1">
      <alignment horizontal="center"/>
    </xf>
    <xf numFmtId="0" fontId="0" fillId="8" borderId="194" xfId="0" applyFill="1" applyBorder="1" applyAlignment="1">
      <alignment horizontal="left"/>
    </xf>
    <xf numFmtId="0" fontId="0" fillId="8" borderId="337" xfId="0" applyFont="1" applyFill="1" applyBorder="1" applyAlignment="1">
      <alignment horizontal="left"/>
    </xf>
    <xf numFmtId="0" fontId="4" fillId="8" borderId="327" xfId="0" applyFont="1" applyFill="1" applyBorder="1" applyAlignment="1">
      <alignment horizontal="center"/>
    </xf>
    <xf numFmtId="16" fontId="0" fillId="8" borderId="338" xfId="0" applyNumberFormat="1" applyFill="1" applyBorder="1" applyAlignment="1">
      <alignment horizontal="center"/>
    </xf>
    <xf numFmtId="0" fontId="0" fillId="8" borderId="21" xfId="0" applyFill="1" applyBorder="1"/>
    <xf numFmtId="0" fontId="0" fillId="8" borderId="338" xfId="0" applyFill="1" applyBorder="1"/>
    <xf numFmtId="0" fontId="0" fillId="22" borderId="21" xfId="0" applyFill="1" applyBorder="1" applyAlignment="1">
      <alignment horizontal="center"/>
    </xf>
    <xf numFmtId="0" fontId="0" fillId="22" borderId="338" xfId="0" applyFill="1" applyBorder="1" applyAlignment="1">
      <alignment horizontal="center"/>
    </xf>
    <xf numFmtId="0" fontId="0" fillId="8" borderId="339" xfId="0" applyFill="1" applyBorder="1" applyAlignment="1">
      <alignment horizontal="center"/>
    </xf>
    <xf numFmtId="16" fontId="0" fillId="8" borderId="323" xfId="0" applyNumberFormat="1" applyFill="1" applyBorder="1"/>
    <xf numFmtId="0" fontId="0" fillId="8" borderId="194" xfId="0" applyFont="1" applyFill="1" applyBorder="1" applyAlignment="1">
      <alignment horizontal="left"/>
    </xf>
    <xf numFmtId="16" fontId="0" fillId="8" borderId="327" xfId="0" applyNumberFormat="1" applyFill="1" applyBorder="1"/>
    <xf numFmtId="0" fontId="0" fillId="8" borderId="335" xfId="0" applyFill="1" applyBorder="1" applyAlignment="1">
      <alignment horizontal="left"/>
    </xf>
    <xf numFmtId="0" fontId="0" fillId="8" borderId="338" xfId="0" applyFont="1" applyFill="1" applyBorder="1" applyAlignment="1">
      <alignment horizontal="left"/>
    </xf>
    <xf numFmtId="0" fontId="4" fillId="8" borderId="339" xfId="0" applyFont="1" applyFill="1" applyBorder="1" applyAlignment="1">
      <alignment horizontal="center"/>
    </xf>
    <xf numFmtId="0" fontId="0" fillId="41" borderId="334" xfId="0" applyFill="1" applyBorder="1" applyAlignment="1">
      <alignment horizontal="left"/>
    </xf>
    <xf numFmtId="0" fontId="0" fillId="41" borderId="336" xfId="0" applyFont="1" applyFill="1" applyBorder="1" applyAlignment="1">
      <alignment horizontal="left"/>
    </xf>
    <xf numFmtId="0" fontId="0" fillId="41" borderId="323" xfId="0" applyFont="1" applyFill="1" applyBorder="1" applyAlignment="1">
      <alignment horizontal="center"/>
    </xf>
    <xf numFmtId="16" fontId="0" fillId="8" borderId="339" xfId="0" applyNumberFormat="1" applyFill="1" applyBorder="1"/>
    <xf numFmtId="0" fontId="0" fillId="41" borderId="194" xfId="0" applyFill="1" applyBorder="1" applyAlignment="1">
      <alignment horizontal="left"/>
    </xf>
    <xf numFmtId="0" fontId="0" fillId="41" borderId="337" xfId="0" applyFont="1" applyFill="1" applyBorder="1" applyAlignment="1">
      <alignment horizontal="left"/>
    </xf>
    <xf numFmtId="0" fontId="0" fillId="41" borderId="327" xfId="0" applyFont="1" applyFill="1" applyBorder="1" applyAlignment="1">
      <alignment horizontal="center"/>
    </xf>
    <xf numFmtId="16" fontId="0" fillId="8" borderId="336" xfId="0" applyNumberFormat="1" applyFill="1" applyBorder="1"/>
    <xf numFmtId="0" fontId="0" fillId="8" borderId="334" xfId="0" applyFill="1" applyBorder="1"/>
    <xf numFmtId="0" fontId="0" fillId="41" borderId="194" xfId="0" applyFont="1" applyFill="1" applyBorder="1" applyAlignment="1">
      <alignment horizontal="left"/>
    </xf>
    <xf numFmtId="16" fontId="0" fillId="8" borderId="337" xfId="0" applyNumberFormat="1" applyFill="1" applyBorder="1"/>
    <xf numFmtId="0" fontId="0" fillId="8" borderId="194" xfId="0" applyFill="1" applyBorder="1"/>
    <xf numFmtId="0" fontId="0" fillId="41" borderId="335" xfId="0" applyFont="1" applyFill="1" applyBorder="1" applyAlignment="1">
      <alignment horizontal="left"/>
    </xf>
    <xf numFmtId="0" fontId="0" fillId="41" borderId="338" xfId="0" applyFont="1" applyFill="1" applyBorder="1" applyAlignment="1">
      <alignment horizontal="left"/>
    </xf>
    <xf numFmtId="0" fontId="0" fillId="41" borderId="339" xfId="0" applyFont="1" applyFill="1" applyBorder="1" applyAlignment="1">
      <alignment horizontal="center"/>
    </xf>
    <xf numFmtId="16" fontId="0" fillId="8" borderId="338" xfId="0" applyNumberFormat="1" applyFill="1" applyBorder="1"/>
    <xf numFmtId="0" fontId="0" fillId="8" borderId="335" xfId="0" applyFill="1" applyBorder="1"/>
    <xf numFmtId="0" fontId="4" fillId="8" borderId="0" xfId="0" applyFont="1" applyFill="1" applyBorder="1" applyAlignment="1"/>
    <xf numFmtId="0" fontId="4" fillId="8" borderId="337" xfId="0" applyFont="1" applyFill="1" applyBorder="1" applyAlignment="1"/>
    <xf numFmtId="0" fontId="0" fillId="8" borderId="337" xfId="0" applyFont="1" applyFill="1" applyBorder="1"/>
    <xf numFmtId="0" fontId="4" fillId="8" borderId="21" xfId="0" applyFont="1" applyFill="1" applyBorder="1" applyAlignment="1"/>
    <xf numFmtId="0" fontId="0" fillId="8" borderId="338" xfId="0" applyFont="1" applyFill="1" applyBorder="1"/>
    <xf numFmtId="0" fontId="0" fillId="8" borderId="0" xfId="0" applyFont="1" applyFill="1" applyBorder="1" applyAlignment="1">
      <alignment horizontal="left"/>
    </xf>
    <xf numFmtId="16" fontId="0" fillId="8" borderId="334" xfId="0" applyNumberFormat="1" applyFill="1" applyBorder="1"/>
    <xf numFmtId="16" fontId="0" fillId="8" borderId="194" xfId="0" applyNumberFormat="1" applyFill="1" applyBorder="1"/>
    <xf numFmtId="16" fontId="0" fillId="8" borderId="335" xfId="0" applyNumberFormat="1" applyFill="1" applyBorder="1"/>
    <xf numFmtId="0" fontId="0" fillId="37" borderId="0" xfId="0" applyFill="1" applyBorder="1"/>
    <xf numFmtId="0" fontId="0" fillId="37" borderId="0" xfId="0" applyFont="1" applyFill="1" applyBorder="1"/>
    <xf numFmtId="0" fontId="4" fillId="37" borderId="0" xfId="0" applyFont="1" applyFill="1" applyBorder="1" applyAlignment="1">
      <alignment horizontal="center"/>
    </xf>
    <xf numFmtId="16" fontId="0" fillId="8" borderId="253" xfId="0" applyNumberFormat="1" applyFill="1" applyBorder="1"/>
    <xf numFmtId="16" fontId="0" fillId="8" borderId="0" xfId="0" applyNumberFormat="1" applyFill="1" applyBorder="1"/>
    <xf numFmtId="16" fontId="0" fillId="8" borderId="21" xfId="0" applyNumberFormat="1" applyFill="1" applyBorder="1"/>
    <xf numFmtId="0" fontId="4" fillId="35" borderId="21" xfId="0" applyFont="1" applyFill="1" applyBorder="1" applyAlignment="1"/>
    <xf numFmtId="0" fontId="8" fillId="35" borderId="21" xfId="0" applyFont="1" applyFill="1" applyBorder="1" applyAlignment="1"/>
    <xf numFmtId="0" fontId="8" fillId="35" borderId="338" xfId="0" applyFont="1" applyFill="1" applyBorder="1" applyAlignment="1"/>
    <xf numFmtId="0" fontId="8" fillId="35" borderId="320" xfId="0" applyFont="1" applyFill="1" applyBorder="1"/>
    <xf numFmtId="0" fontId="4" fillId="42" borderId="323" xfId="0" applyFont="1" applyFill="1" applyBorder="1" applyAlignment="1">
      <alignment horizontal="right"/>
    </xf>
    <xf numFmtId="175" fontId="53" fillId="43" borderId="253" xfId="0" applyNumberFormat="1" applyFont="1" applyFill="1" applyBorder="1"/>
    <xf numFmtId="1" fontId="53" fillId="43" borderId="334" xfId="0" applyNumberFormat="1" applyFont="1" applyFill="1" applyBorder="1"/>
    <xf numFmtId="0" fontId="53" fillId="8" borderId="336" xfId="0" applyFont="1" applyFill="1" applyBorder="1" applyAlignment="1">
      <alignment horizontal="left"/>
    </xf>
    <xf numFmtId="0" fontId="53" fillId="22" borderId="334" xfId="0" applyFont="1" applyFill="1" applyBorder="1" applyAlignment="1">
      <alignment horizontal="center"/>
    </xf>
    <xf numFmtId="0" fontId="53" fillId="22" borderId="253" xfId="0" applyFont="1" applyFill="1" applyBorder="1" applyAlignment="1">
      <alignment horizontal="center"/>
    </xf>
    <xf numFmtId="0" fontId="53" fillId="22" borderId="336" xfId="0" applyFont="1" applyFill="1" applyBorder="1" applyAlignment="1">
      <alignment horizontal="center"/>
    </xf>
    <xf numFmtId="0" fontId="0" fillId="43" borderId="194" xfId="0" applyNumberFormat="1" applyFont="1" applyFill="1" applyBorder="1"/>
    <xf numFmtId="0" fontId="0" fillId="43" borderId="0" xfId="0" applyFont="1" applyFill="1" applyBorder="1"/>
    <xf numFmtId="0" fontId="4" fillId="42" borderId="327" xfId="0" applyFont="1" applyFill="1" applyBorder="1" applyAlignment="1">
      <alignment horizontal="right"/>
    </xf>
    <xf numFmtId="175" fontId="0" fillId="43" borderId="0" xfId="0" applyNumberFormat="1" applyFont="1" applyFill="1" applyBorder="1"/>
    <xf numFmtId="1" fontId="0" fillId="43" borderId="194" xfId="0" applyNumberFormat="1" applyFont="1" applyFill="1" applyBorder="1"/>
    <xf numFmtId="0" fontId="53" fillId="8" borderId="337" xfId="0" applyFont="1" applyFill="1" applyBorder="1" applyAlignment="1">
      <alignment horizontal="left"/>
    </xf>
    <xf numFmtId="0" fontId="0" fillId="22" borderId="194" xfId="0" applyFont="1" applyFill="1" applyBorder="1" applyAlignment="1">
      <alignment horizontal="center"/>
    </xf>
    <xf numFmtId="0" fontId="0" fillId="22" borderId="0" xfId="0" applyFont="1" applyFill="1" applyBorder="1" applyAlignment="1">
      <alignment horizontal="center"/>
    </xf>
    <xf numFmtId="0" fontId="0" fillId="22" borderId="337" xfId="0" applyFont="1" applyFill="1" applyBorder="1" applyAlignment="1">
      <alignment horizontal="center"/>
    </xf>
    <xf numFmtId="0" fontId="0" fillId="8" borderId="337" xfId="0" applyFill="1" applyBorder="1" applyAlignment="1">
      <alignment horizontal="left"/>
    </xf>
    <xf numFmtId="175" fontId="53" fillId="43" borderId="0" xfId="0" applyNumberFormat="1" applyFont="1" applyFill="1" applyBorder="1"/>
    <xf numFmtId="1" fontId="53" fillId="43" borderId="194" xfId="0" applyNumberFormat="1" applyFont="1" applyFill="1" applyBorder="1"/>
    <xf numFmtId="0" fontId="53" fillId="22" borderId="194" xfId="0" applyFont="1" applyFill="1" applyBorder="1" applyAlignment="1">
      <alignment horizontal="center"/>
    </xf>
    <xf numFmtId="0" fontId="53" fillId="22" borderId="0" xfId="0" applyFont="1" applyFill="1" applyBorder="1" applyAlignment="1">
      <alignment horizontal="center"/>
    </xf>
    <xf numFmtId="0" fontId="53" fillId="22" borderId="337" xfId="0" applyFont="1" applyFill="1" applyBorder="1" applyAlignment="1">
      <alignment horizontal="center"/>
    </xf>
    <xf numFmtId="1" fontId="0" fillId="43" borderId="337" xfId="0" applyNumberFormat="1" applyFont="1" applyFill="1" applyBorder="1" applyAlignment="1">
      <alignment horizontal="left"/>
    </xf>
    <xf numFmtId="0" fontId="53" fillId="8" borderId="194" xfId="0" applyFont="1" applyFill="1" applyBorder="1"/>
    <xf numFmtId="0" fontId="4" fillId="42" borderId="339" xfId="0" applyFont="1" applyFill="1" applyBorder="1" applyAlignment="1">
      <alignment horizontal="right"/>
    </xf>
    <xf numFmtId="175" fontId="0" fillId="44" borderId="0" xfId="0" applyNumberFormat="1" applyFont="1" applyFill="1" applyBorder="1"/>
    <xf numFmtId="16" fontId="0" fillId="43" borderId="323" xfId="0" applyNumberFormat="1" applyFont="1" applyFill="1" applyBorder="1"/>
    <xf numFmtId="0" fontId="0" fillId="43" borderId="0" xfId="0" applyFont="1" applyFill="1" applyBorder="1" applyAlignment="1">
      <alignment horizontal="left"/>
    </xf>
    <xf numFmtId="0" fontId="0" fillId="8" borderId="253" xfId="0" applyFont="1" applyFill="1" applyBorder="1" applyAlignment="1">
      <alignment horizontal="left"/>
    </xf>
    <xf numFmtId="0" fontId="0" fillId="22" borderId="334" xfId="0" applyFont="1" applyFill="1" applyBorder="1" applyAlignment="1">
      <alignment horizontal="center"/>
    </xf>
    <xf numFmtId="0" fontId="0" fillId="22" borderId="253" xfId="0" applyFont="1" applyFill="1" applyBorder="1" applyAlignment="1">
      <alignment horizontal="center"/>
    </xf>
    <xf numFmtId="16" fontId="0" fillId="43" borderId="327" xfId="0" applyNumberFormat="1" applyFont="1" applyFill="1" applyBorder="1"/>
    <xf numFmtId="0" fontId="0" fillId="37" borderId="0" xfId="0" applyFill="1" applyBorder="1" applyAlignment="1">
      <alignment horizontal="center"/>
    </xf>
    <xf numFmtId="0" fontId="0" fillId="38" borderId="330" xfId="0" applyFont="1" applyFill="1" applyBorder="1" applyAlignment="1"/>
    <xf numFmtId="0" fontId="4" fillId="38" borderId="330" xfId="0" applyFont="1" applyFill="1" applyBorder="1" applyAlignment="1"/>
    <xf numFmtId="0" fontId="4" fillId="38" borderId="330" xfId="0" applyFont="1" applyFill="1" applyBorder="1" applyAlignment="1">
      <alignment horizontal="left"/>
    </xf>
    <xf numFmtId="0" fontId="0" fillId="43" borderId="323" xfId="0" applyFont="1" applyFill="1" applyBorder="1"/>
    <xf numFmtId="0" fontId="0" fillId="0" borderId="334" xfId="0" applyFont="1" applyBorder="1" applyAlignment="1"/>
    <xf numFmtId="0" fontId="0" fillId="0" borderId="253" xfId="0" applyFont="1" applyBorder="1" applyAlignment="1">
      <alignment horizontal="center"/>
    </xf>
    <xf numFmtId="0" fontId="0" fillId="0" borderId="336" xfId="0" applyFill="1" applyBorder="1" applyAlignment="1">
      <alignment horizontal="center"/>
    </xf>
    <xf numFmtId="0" fontId="0" fillId="43" borderId="327" xfId="0" applyFont="1" applyFill="1" applyBorder="1"/>
    <xf numFmtId="0" fontId="0" fillId="0" borderId="194" xfId="0" applyFont="1" applyBorder="1" applyAlignment="1"/>
    <xf numFmtId="0" fontId="0" fillId="0" borderId="0" xfId="0" applyFont="1" applyBorder="1" applyAlignment="1">
      <alignment horizontal="center"/>
    </xf>
    <xf numFmtId="0" fontId="0" fillId="0" borderId="337" xfId="0" applyFill="1" applyBorder="1" applyAlignment="1">
      <alignment horizontal="center"/>
    </xf>
    <xf numFmtId="0" fontId="0" fillId="43" borderId="339" xfId="0" applyFont="1" applyFill="1" applyBorder="1"/>
    <xf numFmtId="0" fontId="0" fillId="0" borderId="335" xfId="0" applyFont="1" applyBorder="1" applyAlignment="1"/>
    <xf numFmtId="0" fontId="0" fillId="0" borderId="21" xfId="0" applyFont="1" applyBorder="1" applyAlignment="1">
      <alignment horizontal="center"/>
    </xf>
    <xf numFmtId="0" fontId="0" fillId="0" borderId="338" xfId="0" applyFill="1" applyBorder="1" applyAlignment="1">
      <alignment horizontal="center"/>
    </xf>
    <xf numFmtId="0" fontId="0" fillId="38" borderId="330" xfId="0" applyFont="1" applyFill="1" applyBorder="1"/>
    <xf numFmtId="0" fontId="4" fillId="38" borderId="330" xfId="0" applyFont="1" applyFill="1" applyBorder="1" applyAlignment="1">
      <alignment horizontal="center"/>
    </xf>
    <xf numFmtId="0" fontId="0" fillId="38" borderId="330" xfId="0" applyFont="1" applyFill="1" applyBorder="1" applyAlignment="1">
      <alignment horizontal="left"/>
    </xf>
    <xf numFmtId="16" fontId="0" fillId="45" borderId="0" xfId="0" applyNumberFormat="1" applyFont="1" applyFill="1" applyBorder="1"/>
    <xf numFmtId="0" fontId="0" fillId="43" borderId="253" xfId="0" applyFont="1" applyFill="1" applyBorder="1"/>
    <xf numFmtId="0" fontId="0" fillId="0" borderId="336" xfId="0" applyBorder="1" applyAlignment="1">
      <alignment horizontal="center"/>
    </xf>
    <xf numFmtId="0" fontId="0" fillId="43" borderId="21" xfId="0" applyFont="1" applyFill="1" applyBorder="1"/>
    <xf numFmtId="0" fontId="0" fillId="0" borderId="338" xfId="0" applyBorder="1" applyAlignment="1">
      <alignment horizontal="center"/>
    </xf>
    <xf numFmtId="0" fontId="0" fillId="37" borderId="0" xfId="0" applyFill="1" applyBorder="1" applyAlignment="1"/>
    <xf numFmtId="0" fontId="0" fillId="37" borderId="0" xfId="0" applyFont="1" applyFill="1" applyBorder="1" applyAlignment="1"/>
    <xf numFmtId="16" fontId="0" fillId="40" borderId="0" xfId="0" applyNumberFormat="1" applyFont="1" applyFill="1" applyBorder="1"/>
    <xf numFmtId="0" fontId="0" fillId="43" borderId="320" xfId="0" applyFont="1" applyFill="1" applyBorder="1"/>
    <xf numFmtId="0" fontId="0" fillId="43" borderId="330" xfId="0" applyFont="1" applyFill="1" applyBorder="1"/>
    <xf numFmtId="0" fontId="0" fillId="8" borderId="331" xfId="0" applyFont="1" applyFill="1" applyBorder="1" applyAlignment="1">
      <alignment horizontal="left"/>
    </xf>
    <xf numFmtId="0" fontId="0" fillId="0" borderId="0" xfId="0" applyFont="1" applyFill="1" applyBorder="1" applyAlignment="1"/>
    <xf numFmtId="0" fontId="0" fillId="0" borderId="337" xfId="0" applyBorder="1" applyAlignment="1">
      <alignment horizontal="center"/>
    </xf>
    <xf numFmtId="0" fontId="0" fillId="8" borderId="405" xfId="0" applyFill="1" applyBorder="1" applyAlignment="1">
      <alignment horizontal="center"/>
    </xf>
    <xf numFmtId="0" fontId="0" fillId="0" borderId="21" xfId="0" applyFont="1" applyBorder="1" applyAlignment="1"/>
    <xf numFmtId="0" fontId="0" fillId="42" borderId="330" xfId="0" applyFont="1" applyFill="1" applyBorder="1"/>
    <xf numFmtId="0" fontId="0" fillId="46" borderId="330" xfId="0" applyFont="1" applyFill="1" applyBorder="1"/>
    <xf numFmtId="0" fontId="0" fillId="35" borderId="331" xfId="0" applyFill="1" applyBorder="1"/>
    <xf numFmtId="0" fontId="0" fillId="35" borderId="402" xfId="0" applyFill="1" applyBorder="1"/>
    <xf numFmtId="0" fontId="0" fillId="35" borderId="403" xfId="0" applyFill="1" applyBorder="1"/>
    <xf numFmtId="0" fontId="0" fillId="35" borderId="404" xfId="0" applyFill="1" applyBorder="1"/>
    <xf numFmtId="0" fontId="4" fillId="35" borderId="329" xfId="0" applyFont="1" applyFill="1" applyBorder="1"/>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4" fillId="35" borderId="338" xfId="0" applyFont="1" applyFill="1" applyBorder="1" applyAlignment="1"/>
    <xf numFmtId="0" fontId="4" fillId="35" borderId="335" xfId="0" applyFont="1" applyFill="1" applyBorder="1" applyAlignment="1">
      <alignment horizontal="right"/>
    </xf>
    <xf numFmtId="0" fontId="0" fillId="8" borderId="337" xfId="0" applyFont="1" applyFill="1" applyBorder="1" applyAlignment="1">
      <alignment horizontal="center"/>
    </xf>
    <xf numFmtId="0" fontId="16" fillId="12" borderId="320" xfId="0" applyFont="1" applyFill="1" applyBorder="1" applyAlignment="1" applyProtection="1">
      <alignment horizontal="center"/>
    </xf>
    <xf numFmtId="0" fontId="4" fillId="8" borderId="323" xfId="0" applyFont="1" applyFill="1" applyBorder="1" applyAlignment="1">
      <alignment horizontal="center"/>
    </xf>
    <xf numFmtId="0" fontId="53" fillId="8" borderId="253" xfId="0" applyFont="1" applyFill="1" applyBorder="1"/>
    <xf numFmtId="0" fontId="53" fillId="8" borderId="336" xfId="0" applyFont="1" applyFill="1" applyBorder="1"/>
    <xf numFmtId="0" fontId="53" fillId="8" borderId="0" xfId="0" applyFont="1" applyFill="1" applyBorder="1"/>
    <xf numFmtId="0" fontId="53" fillId="8" borderId="337" xfId="0" applyFont="1" applyFill="1" applyBorder="1"/>
    <xf numFmtId="0" fontId="53" fillId="8" borderId="21" xfId="0" applyFont="1" applyFill="1" applyBorder="1"/>
    <xf numFmtId="0" fontId="53" fillId="8" borderId="338" xfId="0" applyFont="1" applyFill="1" applyBorder="1"/>
    <xf numFmtId="0" fontId="53" fillId="22" borderId="21" xfId="0" applyFont="1" applyFill="1" applyBorder="1" applyAlignment="1">
      <alignment horizontal="center"/>
    </xf>
    <xf numFmtId="0" fontId="53" fillId="22" borderId="338" xfId="0" applyFont="1" applyFill="1" applyBorder="1" applyAlignment="1">
      <alignment horizontal="center"/>
    </xf>
    <xf numFmtId="0" fontId="53" fillId="8" borderId="334" xfId="0" applyFont="1" applyFill="1" applyBorder="1"/>
    <xf numFmtId="0" fontId="53" fillId="8" borderId="335" xfId="0" applyFont="1" applyFill="1" applyBorder="1"/>
    <xf numFmtId="0" fontId="53" fillId="22" borderId="335" xfId="0" applyFont="1" applyFill="1" applyBorder="1" applyAlignment="1">
      <alignment horizontal="center"/>
    </xf>
    <xf numFmtId="0" fontId="53" fillId="22" borderId="0" xfId="0" quotePrefix="1" applyFont="1" applyFill="1" applyBorder="1" applyAlignment="1">
      <alignment horizontal="center"/>
    </xf>
    <xf numFmtId="0" fontId="128" fillId="37" borderId="0" xfId="0" applyFont="1" applyFill="1" applyBorder="1" applyAlignment="1">
      <alignment horizontal="center"/>
    </xf>
    <xf numFmtId="0" fontId="128" fillId="37" borderId="0" xfId="0" applyFont="1" applyFill="1" applyBorder="1"/>
    <xf numFmtId="0" fontId="127" fillId="37" borderId="0" xfId="0" applyFont="1" applyFill="1" applyBorder="1"/>
    <xf numFmtId="0" fontId="127" fillId="37" borderId="0" xfId="0" applyFont="1" applyFill="1" applyBorder="1" applyAlignment="1">
      <alignment horizontal="center"/>
    </xf>
    <xf numFmtId="0" fontId="127" fillId="37" borderId="0" xfId="0" applyFont="1" applyFill="1" applyBorder="1" applyAlignment="1"/>
    <xf numFmtId="0" fontId="0" fillId="8" borderId="323" xfId="0" applyNumberFormat="1" applyFill="1" applyBorder="1"/>
    <xf numFmtId="0" fontId="0" fillId="8" borderId="327" xfId="0" applyNumberFormat="1" applyFill="1" applyBorder="1"/>
    <xf numFmtId="0" fontId="0" fillId="8" borderId="327" xfId="0" applyFill="1" applyBorder="1"/>
    <xf numFmtId="0" fontId="0" fillId="8" borderId="339" xfId="0" applyNumberFormat="1" applyFill="1" applyBorder="1"/>
    <xf numFmtId="0" fontId="122" fillId="37" borderId="0" xfId="0" applyFont="1" applyFill="1" applyBorder="1"/>
    <xf numFmtId="0" fontId="112" fillId="0" borderId="0" xfId="0" applyFont="1" applyFill="1" applyBorder="1" applyAlignment="1">
      <alignment vertical="center"/>
    </xf>
    <xf numFmtId="0" fontId="112" fillId="0" borderId="0" xfId="0" applyFont="1" applyFill="1" applyAlignment="1">
      <alignment vertical="center"/>
    </xf>
    <xf numFmtId="0" fontId="50" fillId="0" borderId="0" xfId="0" applyFont="1"/>
    <xf numFmtId="0" fontId="31" fillId="0" borderId="0" xfId="0" applyFont="1" applyAlignment="1">
      <alignment vertical="center"/>
    </xf>
    <xf numFmtId="0" fontId="50" fillId="0" borderId="0" xfId="0" applyFont="1" applyAlignment="1">
      <alignment horizontal="center"/>
    </xf>
    <xf numFmtId="0" fontId="50" fillId="0" borderId="0" xfId="0" applyFont="1" applyAlignment="1"/>
    <xf numFmtId="0" fontId="50" fillId="0" borderId="0" xfId="0" applyFont="1" applyAlignment="1">
      <alignment horizontal="left"/>
    </xf>
    <xf numFmtId="0" fontId="50" fillId="0" borderId="0" xfId="0" applyFont="1" applyAlignment="1">
      <alignment horizontal="right"/>
    </xf>
    <xf numFmtId="0" fontId="31" fillId="0" borderId="0" xfId="0" applyFont="1"/>
    <xf numFmtId="0" fontId="0" fillId="0" borderId="0" xfId="0" applyAlignment="1">
      <alignment vertical="center"/>
    </xf>
    <xf numFmtId="0" fontId="1" fillId="0" borderId="0" xfId="0" applyFont="1" applyAlignment="1">
      <alignment vertical="center"/>
    </xf>
    <xf numFmtId="0" fontId="129" fillId="22" borderId="0" xfId="0" applyFont="1" applyFill="1"/>
    <xf numFmtId="0" fontId="50" fillId="0" borderId="0" xfId="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0" fillId="0" borderId="0" xfId="0" applyAlignment="1"/>
    <xf numFmtId="0" fontId="141" fillId="47" borderId="0" xfId="0" applyFont="1" applyFill="1" applyBorder="1" applyAlignment="1">
      <alignment vertical="center"/>
    </xf>
    <xf numFmtId="0" fontId="130" fillId="8" borderId="194" xfId="0" applyFont="1" applyFill="1" applyBorder="1" applyAlignment="1">
      <alignment vertical="top"/>
    </xf>
    <xf numFmtId="0" fontId="130" fillId="8" borderId="0" xfId="0" applyFont="1" applyFill="1" applyBorder="1" applyAlignment="1">
      <alignment vertical="top"/>
    </xf>
    <xf numFmtId="0" fontId="130" fillId="22" borderId="329" xfId="0" applyFont="1" applyFill="1" applyBorder="1" applyAlignment="1">
      <alignment vertical="top"/>
    </xf>
    <xf numFmtId="0" fontId="31" fillId="8" borderId="194" xfId="0" applyFont="1" applyFill="1" applyBorder="1" applyAlignment="1"/>
    <xf numFmtId="0" fontId="130" fillId="8" borderId="194" xfId="0" applyFont="1" applyFill="1" applyBorder="1" applyAlignment="1"/>
    <xf numFmtId="0" fontId="130" fillId="8" borderId="0" xfId="0" applyFont="1" applyFill="1" applyBorder="1" applyAlignment="1"/>
    <xf numFmtId="0" fontId="130" fillId="8" borderId="337" xfId="0" applyFont="1" applyFill="1" applyBorder="1" applyAlignment="1"/>
    <xf numFmtId="0" fontId="132" fillId="0" borderId="0" xfId="0" applyFont="1" applyFill="1" applyBorder="1" applyAlignment="1">
      <alignment vertical="center"/>
    </xf>
    <xf numFmtId="0" fontId="130" fillId="8" borderId="334" xfId="0" applyFont="1" applyFill="1" applyBorder="1" applyAlignment="1"/>
    <xf numFmtId="0" fontId="130" fillId="8" borderId="253" xfId="0" applyFont="1" applyFill="1" applyBorder="1" applyAlignment="1"/>
    <xf numFmtId="0" fontId="130" fillId="8" borderId="336" xfId="0" applyFont="1" applyFill="1" applyBorder="1" applyAlignment="1"/>
    <xf numFmtId="0" fontId="0" fillId="8" borderId="329" xfId="0" applyFill="1" applyBorder="1" applyAlignment="1">
      <alignment horizontal="center"/>
    </xf>
    <xf numFmtId="0" fontId="130" fillId="0" borderId="0" xfId="0" applyFont="1" applyAlignment="1"/>
    <xf numFmtId="0" fontId="0" fillId="0" borderId="0" xfId="0" applyBorder="1" applyAlignment="1">
      <alignment horizontal="center"/>
    </xf>
    <xf numFmtId="0" fontId="0" fillId="22" borderId="194" xfId="0" applyNumberFormat="1" applyFont="1" applyFill="1" applyBorder="1" applyAlignment="1">
      <alignment horizontal="center"/>
    </xf>
    <xf numFmtId="176" fontId="10" fillId="0" borderId="0" xfId="0" applyNumberFormat="1" applyFont="1" applyAlignment="1">
      <alignment horizontal="center" vertical="center"/>
    </xf>
    <xf numFmtId="0" fontId="50" fillId="0" borderId="0" xfId="0" applyFont="1" applyAlignment="1">
      <alignment horizontal="center" vertical="center"/>
    </xf>
    <xf numFmtId="0" fontId="50" fillId="0" borderId="0" xfId="0" applyFont="1" applyAlignment="1">
      <alignment horizontal="left" vertical="center"/>
    </xf>
    <xf numFmtId="0" fontId="132" fillId="0" borderId="0" xfId="0" applyFont="1" applyAlignment="1">
      <alignment vertical="center"/>
    </xf>
    <xf numFmtId="0" fontId="9" fillId="0" borderId="0" xfId="0" applyFont="1" applyFill="1" applyAlignment="1">
      <alignment vertical="center"/>
    </xf>
    <xf numFmtId="0" fontId="136" fillId="0" borderId="0" xfId="0" applyFont="1" applyAlignment="1">
      <alignment vertical="center"/>
    </xf>
    <xf numFmtId="0" fontId="6" fillId="0" borderId="0" xfId="0" applyFont="1" applyAlignment="1">
      <alignment vertical="center"/>
    </xf>
    <xf numFmtId="0" fontId="36" fillId="0" borderId="337" xfId="0" applyFont="1" applyFill="1" applyBorder="1" applyAlignment="1"/>
    <xf numFmtId="0" fontId="134" fillId="0" borderId="0" xfId="0" applyFont="1" applyBorder="1" applyAlignment="1">
      <alignment vertical="center"/>
    </xf>
    <xf numFmtId="0" fontId="135" fillId="0" borderId="0" xfId="0" applyFont="1" applyBorder="1" applyAlignment="1"/>
    <xf numFmtId="0" fontId="143" fillId="22" borderId="0" xfId="0" applyFont="1" applyFill="1" applyBorder="1" applyAlignment="1"/>
    <xf numFmtId="0" fontId="142" fillId="22" borderId="0" xfId="0" applyFont="1" applyFill="1" applyBorder="1" applyAlignment="1"/>
    <xf numFmtId="0" fontId="133" fillId="0" borderId="0" xfId="1" applyFont="1" applyFill="1" applyBorder="1" applyAlignment="1" applyProtection="1">
      <alignment vertical="center"/>
    </xf>
    <xf numFmtId="0" fontId="137" fillId="22" borderId="0" xfId="0" applyFont="1" applyFill="1" applyBorder="1" applyAlignment="1"/>
    <xf numFmtId="0" fontId="137" fillId="0" borderId="0" xfId="0" applyFont="1" applyFill="1" applyBorder="1" applyAlignment="1"/>
    <xf numFmtId="0" fontId="144" fillId="22" borderId="0" xfId="0" applyFont="1" applyFill="1" applyBorder="1" applyAlignment="1"/>
    <xf numFmtId="0" fontId="145" fillId="0" borderId="0" xfId="0" applyFont="1" applyFill="1" applyBorder="1" applyAlignment="1"/>
    <xf numFmtId="0" fontId="145" fillId="0" borderId="0" xfId="0" applyFont="1" applyFill="1" applyBorder="1" applyAlignment="1">
      <alignment vertical="center"/>
    </xf>
    <xf numFmtId="0" fontId="31" fillId="8" borderId="334" xfId="0" applyFont="1" applyFill="1" applyBorder="1" applyAlignment="1"/>
    <xf numFmtId="0" fontId="31" fillId="8" borderId="253" xfId="0" applyFont="1" applyFill="1" applyBorder="1" applyAlignment="1"/>
    <xf numFmtId="0" fontId="31" fillId="8" borderId="336" xfId="0" applyFont="1" applyFill="1" applyBorder="1" applyAlignment="1"/>
    <xf numFmtId="0" fontId="31" fillId="8" borderId="0" xfId="0" applyFont="1" applyFill="1" applyBorder="1" applyAlignment="1"/>
    <xf numFmtId="0" fontId="31" fillId="8" borderId="337" xfId="0" applyFont="1" applyFill="1" applyBorder="1" applyAlignment="1"/>
    <xf numFmtId="0" fontId="31" fillId="0" borderId="0" xfId="0" applyFont="1" applyFill="1" applyBorder="1" applyAlignment="1"/>
    <xf numFmtId="0" fontId="0" fillId="0" borderId="0" xfId="0" applyFill="1" applyBorder="1" applyAlignment="1"/>
    <xf numFmtId="0" fontId="4" fillId="8" borderId="194" xfId="0" applyFont="1" applyFill="1" applyBorder="1"/>
    <xf numFmtId="0" fontId="4" fillId="8" borderId="0" xfId="0" applyFont="1" applyFill="1" applyBorder="1"/>
    <xf numFmtId="0" fontId="4" fillId="8" borderId="337" xfId="0" applyFont="1" applyFill="1" applyBorder="1"/>
    <xf numFmtId="0" fontId="4" fillId="0" borderId="0" xfId="0" applyFont="1" applyFill="1" applyBorder="1" applyAlignment="1">
      <alignment horizontal="left" vertical="center"/>
    </xf>
    <xf numFmtId="0" fontId="4" fillId="0" borderId="0" xfId="0" applyFont="1" applyFill="1" applyBorder="1" applyAlignment="1">
      <alignment horizontal="right" vertical="center"/>
    </xf>
    <xf numFmtId="0" fontId="0" fillId="0" borderId="331" xfId="0" applyBorder="1"/>
    <xf numFmtId="0" fontId="37" fillId="37" borderId="0" xfId="0" applyFont="1" applyFill="1" applyBorder="1"/>
    <xf numFmtId="0" fontId="37" fillId="37" borderId="0" xfId="0" applyFont="1" applyFill="1" applyBorder="1" applyAlignment="1">
      <alignment horizontal="right"/>
    </xf>
    <xf numFmtId="0" fontId="138" fillId="0" borderId="0" xfId="0" applyFont="1" applyFill="1" applyAlignment="1"/>
    <xf numFmtId="0" fontId="6" fillId="0" borderId="0" xfId="0" applyFont="1" applyFill="1" applyAlignment="1"/>
    <xf numFmtId="0" fontId="63" fillId="0" borderId="0" xfId="0" applyFont="1" applyFill="1" applyAlignment="1"/>
    <xf numFmtId="0" fontId="31" fillId="0" borderId="0" xfId="0" applyFont="1" applyFill="1" applyAlignment="1"/>
    <xf numFmtId="0" fontId="150" fillId="0" borderId="0" xfId="0" applyFont="1" applyFill="1" applyAlignment="1"/>
    <xf numFmtId="0" fontId="0" fillId="38" borderId="329" xfId="0" applyFont="1" applyFill="1" applyBorder="1" applyAlignment="1"/>
    <xf numFmtId="0" fontId="8" fillId="35" borderId="330" xfId="0" applyFont="1" applyFill="1" applyBorder="1" applyAlignment="1"/>
    <xf numFmtId="0" fontId="8" fillId="35" borderId="331" xfId="0" applyFont="1" applyFill="1" applyBorder="1" applyAlignment="1"/>
    <xf numFmtId="0" fontId="0" fillId="38" borderId="329" xfId="0" applyFont="1" applyFill="1" applyBorder="1"/>
    <xf numFmtId="0" fontId="8" fillId="46" borderId="330" xfId="0" applyFont="1" applyFill="1" applyBorder="1"/>
    <xf numFmtId="0" fontId="4" fillId="42" borderId="323" xfId="0" applyFont="1" applyFill="1" applyBorder="1" applyAlignment="1"/>
    <xf numFmtId="0" fontId="4" fillId="42" borderId="327" xfId="0" applyFont="1" applyFill="1" applyBorder="1" applyAlignment="1"/>
    <xf numFmtId="0" fontId="4" fillId="42" borderId="339" xfId="0" applyFont="1" applyFill="1" applyBorder="1" applyAlignment="1"/>
    <xf numFmtId="0" fontId="4" fillId="42" borderId="320" xfId="0" applyFont="1" applyFill="1" applyBorder="1" applyAlignment="1"/>
    <xf numFmtId="0" fontId="4" fillId="42" borderId="320" xfId="0" applyFont="1" applyFill="1" applyBorder="1" applyAlignment="1">
      <alignment horizontal="center"/>
    </xf>
    <xf numFmtId="0" fontId="8" fillId="35" borderId="329" xfId="0" applyFont="1" applyFill="1" applyBorder="1" applyAlignment="1">
      <alignment horizontal="center"/>
    </xf>
    <xf numFmtId="0" fontId="0" fillId="8" borderId="323" xfId="0" applyFont="1" applyFill="1" applyBorder="1" applyAlignment="1">
      <alignment horizontal="center"/>
    </xf>
    <xf numFmtId="0" fontId="0" fillId="0" borderId="0" xfId="0" applyFont="1" applyFill="1"/>
    <xf numFmtId="0" fontId="122" fillId="0" borderId="0" xfId="0" applyFont="1" applyFill="1"/>
    <xf numFmtId="0" fontId="4" fillId="8" borderId="334" xfId="0" applyFont="1" applyFill="1" applyBorder="1" applyAlignment="1">
      <alignment horizontal="left" indent="9"/>
    </xf>
    <xf numFmtId="0" fontId="4" fillId="8" borderId="194" xfId="0" applyFont="1" applyFill="1" applyBorder="1" applyAlignment="1">
      <alignment horizontal="left" indent="9"/>
    </xf>
    <xf numFmtId="0" fontId="4" fillId="8" borderId="335" xfId="0" applyFont="1" applyFill="1" applyBorder="1" applyAlignment="1">
      <alignment horizontal="left" indent="9"/>
    </xf>
    <xf numFmtId="0" fontId="120" fillId="36" borderId="253" xfId="0" applyFont="1" applyFill="1" applyBorder="1"/>
    <xf numFmtId="0" fontId="120" fillId="36" borderId="411" xfId="0" applyFont="1" applyFill="1" applyBorder="1"/>
    <xf numFmtId="0" fontId="0" fillId="37" borderId="253" xfId="0" applyFill="1" applyBorder="1" applyAlignment="1">
      <alignment horizontal="center"/>
    </xf>
    <xf numFmtId="0" fontId="122" fillId="37" borderId="253" xfId="0" applyFont="1" applyFill="1" applyBorder="1"/>
    <xf numFmtId="0" fontId="53" fillId="37" borderId="253" xfId="0" applyFont="1" applyFill="1" applyBorder="1"/>
    <xf numFmtId="0" fontId="0" fillId="37" borderId="253" xfId="0" applyFill="1" applyBorder="1"/>
    <xf numFmtId="0" fontId="0" fillId="37" borderId="336" xfId="0" applyFont="1" applyFill="1" applyBorder="1"/>
    <xf numFmtId="0" fontId="124" fillId="8" borderId="0" xfId="0" applyFont="1" applyFill="1" applyBorder="1"/>
    <xf numFmtId="1" fontId="0" fillId="39" borderId="194" xfId="0" applyNumberFormat="1" applyFill="1" applyBorder="1" applyAlignment="1">
      <alignment horizontal="right"/>
    </xf>
    <xf numFmtId="0" fontId="122" fillId="37" borderId="337" xfId="0" applyFont="1" applyFill="1" applyBorder="1"/>
    <xf numFmtId="0" fontId="0" fillId="37" borderId="337" xfId="0" applyFont="1" applyFill="1" applyBorder="1"/>
    <xf numFmtId="0" fontId="0" fillId="37" borderId="337" xfId="0" applyFont="1" applyFill="1" applyBorder="1" applyAlignment="1">
      <alignment horizontal="center"/>
    </xf>
    <xf numFmtId="0" fontId="4" fillId="42" borderId="194" xfId="0" applyFont="1" applyFill="1" applyBorder="1" applyAlignment="1"/>
    <xf numFmtId="0" fontId="0" fillId="37" borderId="337" xfId="0" applyNumberFormat="1" applyFill="1" applyBorder="1"/>
    <xf numFmtId="0" fontId="149" fillId="37" borderId="0" xfId="0" applyFont="1" applyFill="1" applyBorder="1"/>
    <xf numFmtId="0" fontId="149" fillId="37" borderId="337" xfId="0" applyFont="1" applyFill="1" applyBorder="1"/>
    <xf numFmtId="0" fontId="0" fillId="37" borderId="337" xfId="0" applyFill="1" applyBorder="1"/>
    <xf numFmtId="0" fontId="0" fillId="37" borderId="194" xfId="0" applyFill="1" applyBorder="1"/>
    <xf numFmtId="0" fontId="0" fillId="37" borderId="335" xfId="0" applyFill="1" applyBorder="1"/>
    <xf numFmtId="0" fontId="0" fillId="37" borderId="21" xfId="0" applyFont="1" applyFill="1" applyBorder="1"/>
    <xf numFmtId="0" fontId="0" fillId="37" borderId="21" xfId="0" applyFill="1" applyBorder="1"/>
    <xf numFmtId="0" fontId="122" fillId="37" borderId="21" xfId="0" applyFont="1" applyFill="1" applyBorder="1"/>
    <xf numFmtId="0" fontId="0" fillId="37" borderId="338" xfId="0" applyFont="1" applyFill="1" applyBorder="1"/>
    <xf numFmtId="1" fontId="7" fillId="35" borderId="323" xfId="0" applyNumberFormat="1" applyFont="1" applyFill="1" applyBorder="1" applyAlignment="1">
      <alignment horizontal="center"/>
    </xf>
    <xf numFmtId="1" fontId="7" fillId="35" borderId="320" xfId="0" applyNumberFormat="1" applyFont="1" applyFill="1" applyBorder="1" applyAlignment="1">
      <alignment horizontal="center"/>
    </xf>
    <xf numFmtId="0" fontId="132" fillId="8" borderId="335" xfId="0" applyFont="1" applyFill="1" applyBorder="1" applyAlignment="1">
      <alignment horizontal="center"/>
    </xf>
    <xf numFmtId="0" fontId="132" fillId="8" borderId="21" xfId="0" applyFont="1" applyFill="1" applyBorder="1" applyAlignment="1">
      <alignment horizontal="center"/>
    </xf>
    <xf numFmtId="0" fontId="132" fillId="8" borderId="338" xfId="0" applyFont="1" applyFill="1" applyBorder="1" applyAlignment="1">
      <alignment horizontal="center"/>
    </xf>
    <xf numFmtId="0" fontId="132" fillId="8" borderId="194" xfId="0" applyFont="1" applyFill="1" applyBorder="1" applyAlignment="1">
      <alignment horizontal="center"/>
    </xf>
    <xf numFmtId="0" fontId="132" fillId="8" borderId="0" xfId="0" applyFont="1" applyFill="1" applyBorder="1" applyAlignment="1">
      <alignment horizontal="center"/>
    </xf>
    <xf numFmtId="0" fontId="132" fillId="8" borderId="337" xfId="0" applyFont="1" applyFill="1" applyBorder="1" applyAlignment="1">
      <alignment horizontal="center"/>
    </xf>
    <xf numFmtId="0" fontId="132" fillId="8" borderId="335" xfId="0" applyFont="1" applyFill="1" applyBorder="1" applyAlignment="1">
      <alignment horizontal="center" vertical="center"/>
    </xf>
    <xf numFmtId="0" fontId="132" fillId="8" borderId="21" xfId="0" applyFont="1" applyFill="1" applyBorder="1" applyAlignment="1">
      <alignment horizontal="center" vertical="center"/>
    </xf>
    <xf numFmtId="0" fontId="132" fillId="8" borderId="338" xfId="0" applyFont="1" applyFill="1" applyBorder="1" applyAlignment="1">
      <alignment horizontal="center" vertical="center"/>
    </xf>
    <xf numFmtId="0" fontId="147" fillId="47" borderId="407" xfId="0" applyFont="1" applyFill="1" applyBorder="1" applyAlignment="1">
      <alignment horizontal="center" vertical="center"/>
    </xf>
    <xf numFmtId="0" fontId="147" fillId="47" borderId="406" xfId="0" applyFont="1" applyFill="1" applyBorder="1" applyAlignment="1">
      <alignment horizontal="center" vertical="center"/>
    </xf>
    <xf numFmtId="0" fontId="130" fillId="0" borderId="0" xfId="0" applyFont="1" applyAlignment="1">
      <alignment horizontal="right"/>
    </xf>
    <xf numFmtId="0" fontId="50" fillId="0" borderId="329" xfId="0" applyFont="1" applyBorder="1"/>
    <xf numFmtId="0" fontId="50" fillId="0" borderId="330" xfId="0" applyFont="1" applyBorder="1"/>
    <xf numFmtId="0" fontId="50" fillId="0" borderId="331" xfId="0" applyFont="1" applyBorder="1"/>
    <xf numFmtId="0" fontId="130" fillId="0" borderId="0" xfId="0" applyFont="1" applyAlignment="1"/>
    <xf numFmtId="0" fontId="0" fillId="0" borderId="329" xfId="0" applyBorder="1" applyAlignment="1">
      <alignment horizontal="center"/>
    </xf>
    <xf numFmtId="0" fontId="0" fillId="0" borderId="330" xfId="0" applyBorder="1" applyAlignment="1">
      <alignment horizontal="center"/>
    </xf>
    <xf numFmtId="0" fontId="0" fillId="0" borderId="331" xfId="0" applyBorder="1" applyAlignment="1">
      <alignment horizontal="center"/>
    </xf>
    <xf numFmtId="0" fontId="147" fillId="47" borderId="408" xfId="0" applyFont="1" applyFill="1" applyBorder="1" applyAlignment="1">
      <alignment horizontal="center"/>
    </xf>
    <xf numFmtId="0" fontId="147" fillId="47" borderId="0" xfId="0" applyFont="1" applyFill="1" applyBorder="1" applyAlignment="1">
      <alignment horizontal="center"/>
    </xf>
    <xf numFmtId="0" fontId="147" fillId="47" borderId="409" xfId="0" applyFont="1" applyFill="1" applyBorder="1" applyAlignment="1">
      <alignment horizontal="center"/>
    </xf>
    <xf numFmtId="0" fontId="147" fillId="47" borderId="410" xfId="0" applyFont="1" applyFill="1" applyBorder="1" applyAlignment="1">
      <alignment horizontal="center"/>
    </xf>
    <xf numFmtId="0" fontId="31" fillId="8" borderId="194" xfId="0" applyFont="1" applyFill="1" applyBorder="1" applyAlignment="1">
      <alignment horizontal="center"/>
    </xf>
    <xf numFmtId="0" fontId="31" fillId="8" borderId="0" xfId="0" applyFont="1" applyFill="1" applyBorder="1" applyAlignment="1">
      <alignment horizontal="center"/>
    </xf>
    <xf numFmtId="0" fontId="31" fillId="8" borderId="337" xfId="0" applyFont="1" applyFill="1" applyBorder="1" applyAlignment="1">
      <alignment horizontal="center"/>
    </xf>
    <xf numFmtId="0" fontId="136" fillId="0" borderId="0" xfId="0" applyFont="1" applyAlignment="1">
      <alignment horizontal="center" vertical="center"/>
    </xf>
    <xf numFmtId="0" fontId="6" fillId="0" borderId="0" xfId="0" applyFont="1" applyAlignment="1">
      <alignment horizontal="center" vertical="center"/>
    </xf>
    <xf numFmtId="0" fontId="132" fillId="0" borderId="0" xfId="0" applyFont="1" applyAlignment="1">
      <alignment horizontal="center" vertical="center"/>
    </xf>
    <xf numFmtId="0" fontId="151" fillId="47" borderId="0" xfId="1" applyFont="1" applyFill="1" applyBorder="1" applyAlignment="1">
      <alignment horizontal="center"/>
    </xf>
    <xf numFmtId="0" fontId="36" fillId="47" borderId="0" xfId="0" applyFont="1" applyFill="1" applyBorder="1" applyAlignment="1">
      <alignment horizontal="center"/>
    </xf>
    <xf numFmtId="0" fontId="146" fillId="47" borderId="0" xfId="0" applyFont="1" applyFill="1" applyAlignment="1">
      <alignment horizontal="center" vertical="center"/>
    </xf>
    <xf numFmtId="0" fontId="1" fillId="0" borderId="0" xfId="0" applyFont="1" applyAlignment="1">
      <alignment horizontal="center" vertical="center"/>
    </xf>
    <xf numFmtId="0" fontId="112" fillId="47" borderId="0" xfId="0" applyFont="1" applyFill="1" applyAlignment="1">
      <alignment horizontal="center" vertical="center"/>
    </xf>
    <xf numFmtId="0" fontId="131" fillId="0" borderId="0" xfId="0" applyFont="1" applyAlignment="1">
      <alignment horizontal="center" vertical="center"/>
    </xf>
    <xf numFmtId="0" fontId="31" fillId="0" borderId="0" xfId="0" applyFont="1" applyAlignment="1">
      <alignment horizontal="center" vertical="center"/>
    </xf>
    <xf numFmtId="0" fontId="112" fillId="47" borderId="406" xfId="0" applyFont="1" applyFill="1" applyBorder="1" applyAlignment="1">
      <alignment horizontal="center" vertical="center"/>
    </xf>
    <xf numFmtId="0" fontId="112" fillId="47" borderId="0" xfId="0" applyFont="1" applyFill="1" applyBorder="1" applyAlignment="1">
      <alignment horizontal="center" vertical="center"/>
    </xf>
    <xf numFmtId="0" fontId="9" fillId="47" borderId="0" xfId="0" applyFont="1" applyFill="1" applyBorder="1" applyAlignment="1">
      <alignment horizontal="center"/>
    </xf>
    <xf numFmtId="0" fontId="9" fillId="47" borderId="194" xfId="0" applyFont="1" applyFill="1" applyBorder="1" applyAlignment="1">
      <alignment horizontal="center"/>
    </xf>
    <xf numFmtId="0" fontId="134" fillId="0" borderId="0" xfId="0" applyFont="1" applyFill="1" applyAlignment="1">
      <alignment horizontal="center"/>
    </xf>
    <xf numFmtId="0" fontId="120" fillId="40" borderId="323" xfId="0" applyFont="1" applyFill="1" applyBorder="1" applyAlignment="1">
      <alignment horizontal="center" vertical="center" textRotation="90"/>
    </xf>
    <xf numFmtId="0" fontId="120" fillId="40" borderId="327" xfId="0" applyFont="1" applyFill="1" applyBorder="1" applyAlignment="1">
      <alignment horizontal="center" vertical="center" textRotation="90"/>
    </xf>
    <xf numFmtId="0" fontId="120" fillId="40" borderId="339" xfId="0" applyFont="1" applyFill="1" applyBorder="1" applyAlignment="1">
      <alignment horizontal="center" vertical="center" textRotation="90"/>
    </xf>
    <xf numFmtId="0" fontId="125" fillId="37" borderId="335" xfId="0" applyFont="1" applyFill="1" applyBorder="1" applyAlignment="1">
      <alignment horizontal="center"/>
    </xf>
    <xf numFmtId="0" fontId="125" fillId="37" borderId="21" xfId="0" applyFont="1" applyFill="1" applyBorder="1" applyAlignment="1">
      <alignment horizontal="center"/>
    </xf>
    <xf numFmtId="0" fontId="125" fillId="37" borderId="338" xfId="0" applyFont="1" applyFill="1" applyBorder="1" applyAlignment="1">
      <alignment horizontal="center"/>
    </xf>
    <xf numFmtId="0" fontId="4" fillId="35" borderId="334" xfId="0" applyFont="1" applyFill="1" applyBorder="1" applyAlignment="1" applyProtection="1">
      <alignment horizontal="center"/>
    </xf>
    <xf numFmtId="0" fontId="4" fillId="35" borderId="253" xfId="0" applyFont="1" applyFill="1" applyBorder="1" applyAlignment="1" applyProtection="1">
      <alignment horizontal="center"/>
    </xf>
    <xf numFmtId="0" fontId="4" fillId="35" borderId="336" xfId="0" applyFont="1" applyFill="1" applyBorder="1" applyAlignment="1" applyProtection="1">
      <alignment horizontal="center"/>
    </xf>
    <xf numFmtId="0" fontId="120" fillId="36" borderId="253" xfId="0" applyFont="1" applyFill="1" applyBorder="1" applyAlignment="1">
      <alignment horizontal="center"/>
    </xf>
    <xf numFmtId="0" fontId="121" fillId="8" borderId="253" xfId="0" applyFont="1" applyFill="1" applyBorder="1"/>
    <xf numFmtId="0" fontId="59" fillId="35" borderId="9" xfId="0" applyFont="1" applyFill="1" applyBorder="1" applyAlignment="1" applyProtection="1">
      <alignment horizontal="center"/>
    </xf>
    <xf numFmtId="0" fontId="59" fillId="35" borderId="10" xfId="0" applyFont="1" applyFill="1" applyBorder="1" applyAlignment="1" applyProtection="1">
      <alignment horizontal="center"/>
    </xf>
    <xf numFmtId="0" fontId="126" fillId="35" borderId="194" xfId="0" applyFont="1" applyFill="1" applyBorder="1" applyAlignment="1" applyProtection="1">
      <alignment horizontal="center" vertical="top"/>
    </xf>
    <xf numFmtId="0" fontId="126" fillId="35" borderId="0" xfId="0" applyFont="1" applyFill="1" applyBorder="1" applyAlignment="1" applyProtection="1">
      <alignment horizontal="center" vertical="top"/>
    </xf>
    <xf numFmtId="0" fontId="126" fillId="35" borderId="337" xfId="0" applyFont="1" applyFill="1" applyBorder="1" applyAlignment="1" applyProtection="1">
      <alignment horizontal="center" vertical="top"/>
    </xf>
    <xf numFmtId="0" fontId="126" fillId="35" borderId="335" xfId="0" applyFont="1" applyFill="1" applyBorder="1" applyAlignment="1" applyProtection="1">
      <alignment horizontal="center" vertical="top"/>
    </xf>
    <xf numFmtId="0" fontId="126" fillId="35" borderId="21" xfId="0" applyFont="1" applyFill="1" applyBorder="1" applyAlignment="1" applyProtection="1">
      <alignment horizontal="center" vertical="top"/>
    </xf>
    <xf numFmtId="0" fontId="126" fillId="35" borderId="338" xfId="0" applyFont="1" applyFill="1" applyBorder="1" applyAlignment="1" applyProtection="1">
      <alignment horizontal="center" vertical="top"/>
    </xf>
    <xf numFmtId="0" fontId="4" fillId="35" borderId="329" xfId="0" applyFont="1" applyFill="1" applyBorder="1" applyAlignment="1">
      <alignment horizontal="center"/>
    </xf>
    <xf numFmtId="0" fontId="4" fillId="35" borderId="330" xfId="0" applyFont="1" applyFill="1" applyBorder="1" applyAlignment="1">
      <alignment horizontal="center"/>
    </xf>
    <xf numFmtId="0" fontId="4" fillId="35" borderId="331" xfId="0" applyFont="1" applyFill="1" applyBorder="1" applyAlignment="1">
      <alignment horizontal="center"/>
    </xf>
    <xf numFmtId="0" fontId="4" fillId="8" borderId="253" xfId="0" applyFont="1" applyFill="1" applyBorder="1" applyAlignment="1"/>
    <xf numFmtId="0" fontId="4" fillId="8" borderId="336" xfId="0" applyFont="1" applyFill="1" applyBorder="1" applyAlignment="1"/>
    <xf numFmtId="0" fontId="4" fillId="35" borderId="334" xfId="0" applyFont="1" applyFill="1" applyBorder="1" applyAlignment="1">
      <alignment horizontal="center"/>
    </xf>
    <xf numFmtId="0" fontId="4" fillId="35" borderId="253" xfId="0" applyFont="1" applyFill="1" applyBorder="1" applyAlignment="1">
      <alignment horizontal="center"/>
    </xf>
    <xf numFmtId="0" fontId="4" fillId="35" borderId="336" xfId="0" applyFont="1" applyFill="1" applyBorder="1" applyAlignment="1">
      <alignment horizontal="center"/>
    </xf>
    <xf numFmtId="0" fontId="37" fillId="37" borderId="335" xfId="0" applyFont="1" applyFill="1" applyBorder="1" applyAlignment="1">
      <alignment horizontal="center"/>
    </xf>
    <xf numFmtId="0" fontId="37" fillId="37" borderId="21" xfId="0" applyFont="1" applyFill="1" applyBorder="1" applyAlignment="1">
      <alignment horizontal="center"/>
    </xf>
    <xf numFmtId="0" fontId="37" fillId="37" borderId="338" xfId="0" applyFont="1" applyFill="1" applyBorder="1" applyAlignment="1">
      <alignment horizontal="center"/>
    </xf>
    <xf numFmtId="0" fontId="8" fillId="35" borderId="329" xfId="0" applyFont="1" applyFill="1" applyBorder="1" applyAlignment="1">
      <alignment horizontal="center"/>
    </xf>
    <xf numFmtId="0" fontId="8" fillId="35" borderId="331" xfId="0" applyFont="1" applyFill="1" applyBorder="1" applyAlignment="1">
      <alignment horizontal="center"/>
    </xf>
    <xf numFmtId="0" fontId="4" fillId="42" borderId="402" xfId="0" applyNumberFormat="1" applyFont="1" applyFill="1" applyBorder="1" applyAlignment="1">
      <alignment horizontal="center"/>
    </xf>
    <xf numFmtId="0" fontId="4" fillId="42" borderId="403" xfId="0" applyNumberFormat="1" applyFont="1" applyFill="1" applyBorder="1" applyAlignment="1">
      <alignment horizontal="center"/>
    </xf>
    <xf numFmtId="0" fontId="4" fillId="42" borderId="404" xfId="0" applyNumberFormat="1" applyFont="1" applyFill="1" applyBorder="1" applyAlignment="1">
      <alignment horizontal="center"/>
    </xf>
    <xf numFmtId="0" fontId="0" fillId="35" borderId="329" xfId="0" applyFill="1" applyBorder="1" applyAlignment="1">
      <alignment horizontal="center"/>
    </xf>
    <xf numFmtId="0" fontId="0" fillId="35" borderId="330" xfId="0" applyFill="1" applyBorder="1" applyAlignment="1">
      <alignment horizontal="center"/>
    </xf>
    <xf numFmtId="0" fontId="0" fillId="35" borderId="331" xfId="0" applyFill="1" applyBorder="1" applyAlignment="1">
      <alignment horizontal="center"/>
    </xf>
    <xf numFmtId="174" fontId="4" fillId="40" borderId="323" xfId="0" applyNumberFormat="1" applyFont="1" applyFill="1" applyBorder="1" applyAlignment="1">
      <alignment horizontal="center" vertical="center" textRotation="90" readingOrder="2"/>
    </xf>
    <xf numFmtId="174" fontId="4" fillId="40" borderId="327" xfId="0" applyNumberFormat="1" applyFont="1" applyFill="1" applyBorder="1" applyAlignment="1">
      <alignment horizontal="center" vertical="center" textRotation="90" readingOrder="2"/>
    </xf>
    <xf numFmtId="174" fontId="4" fillId="40" borderId="339" xfId="0" applyNumberFormat="1" applyFont="1" applyFill="1" applyBorder="1" applyAlignment="1">
      <alignment horizontal="center" vertical="center" textRotation="90" readingOrder="2"/>
    </xf>
    <xf numFmtId="16" fontId="4" fillId="40" borderId="323" xfId="0" applyNumberFormat="1" applyFont="1" applyFill="1" applyBorder="1" applyAlignment="1">
      <alignment horizontal="center" textRotation="90"/>
    </xf>
    <xf numFmtId="16" fontId="4" fillId="40" borderId="327" xfId="0" applyNumberFormat="1" applyFont="1" applyFill="1" applyBorder="1" applyAlignment="1">
      <alignment horizontal="center" textRotation="90"/>
    </xf>
    <xf numFmtId="16" fontId="4" fillId="40" borderId="339" xfId="0" applyNumberFormat="1" applyFont="1" applyFill="1" applyBorder="1" applyAlignment="1">
      <alignment horizontal="center" textRotation="90"/>
    </xf>
    <xf numFmtId="16" fontId="4" fillId="40" borderId="336" xfId="0" applyNumberFormat="1" applyFont="1" applyFill="1" applyBorder="1" applyAlignment="1">
      <alignment horizontal="center" textRotation="90"/>
    </xf>
    <xf numFmtId="16" fontId="4" fillId="40" borderId="337" xfId="0" applyNumberFormat="1" applyFont="1" applyFill="1" applyBorder="1" applyAlignment="1">
      <alignment horizontal="center" textRotation="90"/>
    </xf>
    <xf numFmtId="16" fontId="4" fillId="40" borderId="338" xfId="0" applyNumberFormat="1" applyFont="1" applyFill="1" applyBorder="1" applyAlignment="1">
      <alignment horizontal="center" textRotation="90"/>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9" xfId="0" applyFont="1" applyBorder="1" applyAlignment="1" applyProtection="1">
      <alignment horizontal="center" vertical="center"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cellXfs>
  <cellStyles count="4">
    <cellStyle name="Berechnung 2" xfId="3" xr:uid="{DE200129-B758-4B3E-934A-ACECA7D60EBB}"/>
    <cellStyle name="Hyperlink" xfId="1" builtinId="8"/>
    <cellStyle name="Standaard" xfId="0" builtinId="0"/>
    <cellStyle name="Standard 2" xfId="2" xr:uid="{6AA77B02-D277-4728-A457-D893DCCA1287}"/>
  </cellStyles>
  <dxfs count="1287">
    <dxf>
      <fill>
        <patternFill>
          <bgColor rgb="FFD6EDBD"/>
        </patternFill>
      </fill>
    </dxf>
    <dxf>
      <font>
        <b/>
        <i val="0"/>
      </font>
    </dxf>
    <dxf>
      <font>
        <b/>
        <i val="0"/>
      </font>
    </dxf>
    <dxf>
      <font>
        <b/>
        <i val="0"/>
      </font>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009900"/>
      <color rgb="FF008000"/>
      <color rgb="FFCCFFFF"/>
      <color rgb="FFFFFF99"/>
      <color rgb="FFFFFFCC"/>
      <color rgb="FF66FFFF"/>
      <color rgb="FF00FFFF"/>
      <color rgb="FFE04500"/>
      <color rgb="FFC83E00"/>
      <color rgb="FFE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112059</xdr:colOff>
      <xdr:row>7</xdr:row>
      <xdr:rowOff>123265</xdr:rowOff>
    </xdr:from>
    <xdr:to>
      <xdr:col>6</xdr:col>
      <xdr:colOff>78441</xdr:colOff>
      <xdr:row>9</xdr:row>
      <xdr:rowOff>58271</xdr:rowOff>
    </xdr:to>
    <xdr:sp macro="" textlink="">
      <xdr:nvSpPr>
        <xdr:cNvPr id="7" name="AutoShape 3" descr="Euro-2021-logo">
          <a:extLst>
            <a:ext uri="{FF2B5EF4-FFF2-40B4-BE49-F238E27FC236}">
              <a16:creationId xmlns:a16="http://schemas.microsoft.com/office/drawing/2014/main" id="{F349ACE6-468C-46FF-98DB-56F0F0A43CE6}"/>
            </a:ext>
          </a:extLst>
        </xdr:cNvPr>
        <xdr:cNvSpPr>
          <a:spLocks noChangeAspect="1" noChangeArrowheads="1"/>
        </xdr:cNvSpPr>
      </xdr:nvSpPr>
      <xdr:spPr bwMode="auto">
        <a:xfrm>
          <a:off x="3137647" y="1378324"/>
          <a:ext cx="5715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7</xdr:col>
      <xdr:colOff>560295</xdr:colOff>
      <xdr:row>5</xdr:row>
      <xdr:rowOff>33617</xdr:rowOff>
    </xdr:from>
    <xdr:to>
      <xdr:col>8</xdr:col>
      <xdr:colOff>259977</xdr:colOff>
      <xdr:row>6</xdr:row>
      <xdr:rowOff>147917</xdr:rowOff>
    </xdr:to>
    <xdr:sp macro="" textlink="">
      <xdr:nvSpPr>
        <xdr:cNvPr id="8" name="AutoShape 1" descr="EURO 2021 | FootballTalk.org">
          <a:extLst>
            <a:ext uri="{FF2B5EF4-FFF2-40B4-BE49-F238E27FC236}">
              <a16:creationId xmlns:a16="http://schemas.microsoft.com/office/drawing/2014/main" id="{77AC3C4C-9BFD-4E36-9088-D9F83D87FD73}"/>
            </a:ext>
          </a:extLst>
        </xdr:cNvPr>
        <xdr:cNvSpPr>
          <a:spLocks noChangeAspect="1" noChangeArrowheads="1"/>
        </xdr:cNvSpPr>
      </xdr:nvSpPr>
      <xdr:spPr bwMode="auto">
        <a:xfrm>
          <a:off x="4919383" y="930088"/>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4</xdr:col>
      <xdr:colOff>545354</xdr:colOff>
      <xdr:row>48</xdr:row>
      <xdr:rowOff>89888</xdr:rowOff>
    </xdr:from>
    <xdr:to>
      <xdr:col>5</xdr:col>
      <xdr:colOff>131234</xdr:colOff>
      <xdr:row>49</xdr:row>
      <xdr:rowOff>2251</xdr:rowOff>
    </xdr:to>
    <xdr:sp macro="" textlink="">
      <xdr:nvSpPr>
        <xdr:cNvPr id="10" name="Stroomdiagram: Samenvoegen 9">
          <a:extLst>
            <a:ext uri="{FF2B5EF4-FFF2-40B4-BE49-F238E27FC236}">
              <a16:creationId xmlns:a16="http://schemas.microsoft.com/office/drawing/2014/main" id="{69BC3B43-D34C-4149-9BE7-C2E46D068563}"/>
            </a:ext>
          </a:extLst>
        </xdr:cNvPr>
        <xdr:cNvSpPr/>
      </xdr:nvSpPr>
      <xdr:spPr>
        <a:xfrm>
          <a:off x="2983754" y="8938613"/>
          <a:ext cx="195480" cy="112388"/>
        </a:xfrm>
        <a:prstGeom prst="flowChartMerg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0" name="AutoShape 7" descr="Mascotte EK 2024 voetbal Duitsland | Bekijk de beer hier">
          <a:extLst>
            <a:ext uri="{FF2B5EF4-FFF2-40B4-BE49-F238E27FC236}">
              <a16:creationId xmlns:a16="http://schemas.microsoft.com/office/drawing/2014/main" id="{35F4A907-E001-48D0-A18D-81B310E9B0CF}"/>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1" name="AutoShape 8" descr="Mascotte EK 2024 voetbal Duitsland | Bekijk de beer hier">
          <a:extLst>
            <a:ext uri="{FF2B5EF4-FFF2-40B4-BE49-F238E27FC236}">
              <a16:creationId xmlns:a16="http://schemas.microsoft.com/office/drawing/2014/main" id="{D939C2ED-B5A7-4513-B116-6D64FDED6D30}"/>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xdr:row>
      <xdr:rowOff>0</xdr:rowOff>
    </xdr:from>
    <xdr:to>
      <xdr:col>0</xdr:col>
      <xdr:colOff>384081</xdr:colOff>
      <xdr:row>28</xdr:row>
      <xdr:rowOff>14407</xdr:rowOff>
    </xdr:to>
    <xdr:pic>
      <xdr:nvPicPr>
        <xdr:cNvPr id="4" name="Afbeelding 3">
          <a:extLst>
            <a:ext uri="{FF2B5EF4-FFF2-40B4-BE49-F238E27FC236}">
              <a16:creationId xmlns:a16="http://schemas.microsoft.com/office/drawing/2014/main" id="{E9F080FE-A153-4BEF-97C9-00955517978F}"/>
            </a:ext>
          </a:extLst>
        </xdr:cNvPr>
        <xdr:cNvPicPr>
          <a:picLocks noChangeAspect="1"/>
        </xdr:cNvPicPr>
      </xdr:nvPicPr>
      <xdr:blipFill>
        <a:blip xmlns:r="http://schemas.openxmlformats.org/officeDocument/2006/relationships" r:embed="rId1"/>
        <a:stretch>
          <a:fillRect/>
        </a:stretch>
      </xdr:blipFill>
      <xdr:spPr>
        <a:xfrm>
          <a:off x="0" y="4123765"/>
          <a:ext cx="384081" cy="731583"/>
        </a:xfrm>
        <a:prstGeom prst="rect">
          <a:avLst/>
        </a:prstGeom>
      </xdr:spPr>
    </xdr:pic>
    <xdr:clientData/>
  </xdr:twoCellAnchor>
  <xdr:twoCellAnchor editAs="oneCell">
    <xdr:from>
      <xdr:col>8</xdr:col>
      <xdr:colOff>739588</xdr:colOff>
      <xdr:row>24</xdr:row>
      <xdr:rowOff>0</xdr:rowOff>
    </xdr:from>
    <xdr:to>
      <xdr:col>8</xdr:col>
      <xdr:colOff>1172442</xdr:colOff>
      <xdr:row>28</xdr:row>
      <xdr:rowOff>14407</xdr:rowOff>
    </xdr:to>
    <xdr:pic>
      <xdr:nvPicPr>
        <xdr:cNvPr id="6" name="Afbeelding 5">
          <a:extLst>
            <a:ext uri="{FF2B5EF4-FFF2-40B4-BE49-F238E27FC236}">
              <a16:creationId xmlns:a16="http://schemas.microsoft.com/office/drawing/2014/main" id="{CD3FDCDC-B53E-4F11-91AE-C9C734B4B92A}"/>
            </a:ext>
          </a:extLst>
        </xdr:cNvPr>
        <xdr:cNvPicPr>
          <a:picLocks noChangeAspect="1"/>
        </xdr:cNvPicPr>
      </xdr:nvPicPr>
      <xdr:blipFill>
        <a:blip xmlns:r="http://schemas.openxmlformats.org/officeDocument/2006/relationships" r:embed="rId2"/>
        <a:stretch>
          <a:fillRect/>
        </a:stretch>
      </xdr:blipFill>
      <xdr:spPr>
        <a:xfrm>
          <a:off x="5703794" y="4123765"/>
          <a:ext cx="432854" cy="731583"/>
        </a:xfrm>
        <a:prstGeom prst="rect">
          <a:avLst/>
        </a:prstGeom>
      </xdr:spPr>
    </xdr:pic>
    <xdr:clientData/>
  </xdr:twoCellAnchor>
  <xdr:twoCellAnchor editAs="oneCell">
    <xdr:from>
      <xdr:col>7</xdr:col>
      <xdr:colOff>459442</xdr:colOff>
      <xdr:row>37</xdr:row>
      <xdr:rowOff>0</xdr:rowOff>
    </xdr:from>
    <xdr:to>
      <xdr:col>8</xdr:col>
      <xdr:colOff>1111624</xdr:colOff>
      <xdr:row>43</xdr:row>
      <xdr:rowOff>24466</xdr:rowOff>
    </xdr:to>
    <xdr:pic>
      <xdr:nvPicPr>
        <xdr:cNvPr id="14" name="Afbeelding 13" descr="Officiële FIFA World Cup 2026 branding met de iconische trofee en toernooi graphics, perfect voor sport en evenement promoties.">
          <a:extLst>
            <a:ext uri="{FF2B5EF4-FFF2-40B4-BE49-F238E27FC236}">
              <a16:creationId xmlns:a16="http://schemas.microsoft.com/office/drawing/2014/main" id="{E1B0825C-6B9E-49EA-BC1D-63A5274239B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728"/>
        <a:stretch/>
      </xdr:blipFill>
      <xdr:spPr bwMode="auto">
        <a:xfrm>
          <a:off x="4818530" y="6465794"/>
          <a:ext cx="1257300" cy="1108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16</xdr:col>
      <xdr:colOff>264589</xdr:colOff>
      <xdr:row>45</xdr:row>
      <xdr:rowOff>63207</xdr:rowOff>
    </xdr:from>
    <xdr:to>
      <xdr:col>17</xdr:col>
      <xdr:colOff>1369575</xdr:colOff>
      <xdr:row>52</xdr:row>
      <xdr:rowOff>47625</xdr:rowOff>
    </xdr:to>
    <xdr:pic>
      <xdr:nvPicPr>
        <xdr:cNvPr id="13" name="Afbeelding 12" descr="De drie officiële mascottes van het FIFA Wereldkampioenschap 2026. (Foto: FIFA)">
          <a:extLst>
            <a:ext uri="{FF2B5EF4-FFF2-40B4-BE49-F238E27FC236}">
              <a16:creationId xmlns:a16="http://schemas.microsoft.com/office/drawing/2014/main" id="{72438254-E439-4297-9664-C1C83D3B3BB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082" t="1735" r="17995" b="2959"/>
        <a:stretch/>
      </xdr:blipFill>
      <xdr:spPr bwMode="auto">
        <a:xfrm>
          <a:off x="10637314" y="8064207"/>
          <a:ext cx="1714586" cy="1432218"/>
        </a:xfrm>
        <a:prstGeom prst="rect">
          <a:avLst/>
        </a:prstGeom>
        <a:noFill/>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161925</xdr:colOff>
      <xdr:row>85</xdr:row>
      <xdr:rowOff>129724</xdr:rowOff>
    </xdr:from>
    <xdr:to>
      <xdr:col>17</xdr:col>
      <xdr:colOff>142763</xdr:colOff>
      <xdr:row>94</xdr:row>
      <xdr:rowOff>142210</xdr:rowOff>
    </xdr:to>
    <xdr:pic>
      <xdr:nvPicPr>
        <xdr:cNvPr id="8" name="Afbeelding 7">
          <a:extLst>
            <a:ext uri="{FF2B5EF4-FFF2-40B4-BE49-F238E27FC236}">
              <a16:creationId xmlns:a16="http://schemas.microsoft.com/office/drawing/2014/main" id="{6A021EEB-D929-4CD4-858A-5CE08DE3BE5F}"/>
            </a:ext>
          </a:extLst>
        </xdr:cNvPr>
        <xdr:cNvPicPr>
          <a:picLocks noChangeAspect="1"/>
        </xdr:cNvPicPr>
      </xdr:nvPicPr>
      <xdr:blipFill>
        <a:blip xmlns:r="http://schemas.openxmlformats.org/officeDocument/2006/relationships" r:embed="rId1"/>
        <a:stretch>
          <a:fillRect/>
        </a:stretch>
      </xdr:blipFill>
      <xdr:spPr>
        <a:xfrm>
          <a:off x="7439025" y="16417474"/>
          <a:ext cx="2038238" cy="1704574"/>
        </a:xfrm>
        <a:prstGeom prst="rect">
          <a:avLst/>
        </a:prstGeom>
      </xdr:spPr>
    </xdr:pic>
    <xdr:clientData/>
  </xdr:twoCellAnchor>
  <xdr:twoCellAnchor editAs="oneCell">
    <xdr:from>
      <xdr:col>15</xdr:col>
      <xdr:colOff>296350</xdr:colOff>
      <xdr:row>76</xdr:row>
      <xdr:rowOff>47522</xdr:rowOff>
    </xdr:from>
    <xdr:to>
      <xdr:col>17</xdr:col>
      <xdr:colOff>14287</xdr:colOff>
      <xdr:row>83</xdr:row>
      <xdr:rowOff>114300</xdr:rowOff>
    </xdr:to>
    <xdr:pic>
      <xdr:nvPicPr>
        <xdr:cNvPr id="17" name="Afbeelding 16">
          <a:extLst>
            <a:ext uri="{FF2B5EF4-FFF2-40B4-BE49-F238E27FC236}">
              <a16:creationId xmlns:a16="http://schemas.microsoft.com/office/drawing/2014/main" id="{A2BF289E-11BA-459A-8622-57BA41993F9F}"/>
            </a:ext>
          </a:extLst>
        </xdr:cNvPr>
        <xdr:cNvPicPr>
          <a:picLocks noChangeAspect="1"/>
        </xdr:cNvPicPr>
      </xdr:nvPicPr>
      <xdr:blipFill>
        <a:blip xmlns:r="http://schemas.openxmlformats.org/officeDocument/2006/relationships" r:embed="rId2"/>
        <a:stretch>
          <a:fillRect/>
        </a:stretch>
      </xdr:blipFill>
      <xdr:spPr>
        <a:xfrm>
          <a:off x="7773475" y="14620772"/>
          <a:ext cx="1575312" cy="1400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kc51-voetbalpool@feith.n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FB7A-A258-4301-8E62-96CDEE9014B2}">
  <dimension ref="A1:S75"/>
  <sheetViews>
    <sheetView tabSelected="1" topLeftCell="A22" zoomScaleNormal="100" workbookViewId="0">
      <selection activeCell="I57" sqref="I57"/>
    </sheetView>
  </sheetViews>
  <sheetFormatPr defaultRowHeight="15"/>
  <cols>
    <col min="4" max="4" width="9.140625" customWidth="1"/>
    <col min="7" max="7" width="10.85546875" customWidth="1"/>
    <col min="9" max="9" width="18" customWidth="1"/>
    <col min="10" max="10" width="2.140625" customWidth="1"/>
    <col min="12" max="12" width="18.28515625" customWidth="1"/>
    <col min="13" max="13" width="5.7109375" customWidth="1"/>
    <col min="17" max="17" width="9.140625" style="1079"/>
    <col min="18" max="18" width="21.42578125" customWidth="1"/>
    <col min="19" max="19" width="2.140625" customWidth="1"/>
    <col min="28" max="28" width="17.85546875" customWidth="1"/>
  </cols>
  <sheetData>
    <row r="1" spans="1:18" ht="14.85" customHeight="1">
      <c r="A1" s="1212" t="s">
        <v>2011</v>
      </c>
      <c r="B1" s="1212"/>
      <c r="C1" s="1212"/>
      <c r="D1" s="1212"/>
      <c r="E1" s="1212"/>
      <c r="F1" s="1212"/>
      <c r="G1" s="1212"/>
      <c r="H1" s="1212"/>
      <c r="I1" s="1212"/>
      <c r="K1" s="1209" t="s">
        <v>1953</v>
      </c>
      <c r="L1" s="1209"/>
      <c r="M1" s="1209"/>
      <c r="N1" s="1209"/>
      <c r="O1" s="1209"/>
      <c r="P1" s="1209"/>
      <c r="Q1" s="1209"/>
      <c r="R1" s="1209"/>
    </row>
    <row r="2" spans="1:18" ht="14.85" customHeight="1">
      <c r="A2" s="1213"/>
      <c r="B2" s="1213"/>
      <c r="C2" s="1213"/>
      <c r="D2" s="1213"/>
      <c r="E2" s="1213"/>
      <c r="F2" s="1213"/>
      <c r="G2" s="1213"/>
      <c r="H2" s="1213"/>
      <c r="I2" s="1213"/>
      <c r="K2" s="1209"/>
      <c r="L2" s="1209"/>
      <c r="M2" s="1209"/>
      <c r="N2" s="1209"/>
      <c r="O2" s="1209"/>
      <c r="P2" s="1209"/>
      <c r="Q2" s="1209"/>
      <c r="R2" s="1209"/>
    </row>
    <row r="3" spans="1:18" ht="14.85" customHeight="1">
      <c r="A3" s="1064"/>
      <c r="B3" s="1064"/>
      <c r="C3" s="1064"/>
      <c r="D3" s="1064"/>
      <c r="E3" s="1064"/>
      <c r="F3" s="1064"/>
      <c r="G3" s="1064"/>
      <c r="H3" s="1064"/>
      <c r="I3" s="1064"/>
      <c r="K3" s="1065"/>
      <c r="L3" s="1065"/>
      <c r="M3" s="1065"/>
      <c r="N3" s="1065"/>
      <c r="O3" s="1065"/>
      <c r="P3" s="1065"/>
      <c r="Q3" s="1065"/>
      <c r="R3" s="1065"/>
    </row>
    <row r="4" spans="1:18" ht="14.85" customHeight="1">
      <c r="A4" s="1211" t="s">
        <v>2000</v>
      </c>
      <c r="B4" s="1211"/>
      <c r="C4" s="1211"/>
      <c r="D4" s="1211"/>
      <c r="E4" s="1211"/>
      <c r="F4" s="1211"/>
      <c r="G4" s="1211"/>
      <c r="H4" s="1211"/>
      <c r="I4" s="1211"/>
      <c r="J4" s="1067"/>
      <c r="K4" s="1210" t="s">
        <v>1954</v>
      </c>
      <c r="L4" s="1210"/>
      <c r="M4" s="1210"/>
      <c r="N4" s="1210"/>
      <c r="O4" s="1210"/>
      <c r="P4" s="1210"/>
      <c r="Q4" s="1210"/>
      <c r="R4" s="1210"/>
    </row>
    <row r="5" spans="1:18" ht="14.85" customHeight="1">
      <c r="A5" s="1211" t="s">
        <v>2001</v>
      </c>
      <c r="B5" s="1211"/>
      <c r="C5" s="1211"/>
      <c r="D5" s="1211"/>
      <c r="E5" s="1211"/>
      <c r="F5" s="1211"/>
      <c r="G5" s="1211"/>
      <c r="H5" s="1211"/>
      <c r="I5" s="1211"/>
      <c r="J5" s="1067"/>
      <c r="K5" s="1210"/>
      <c r="L5" s="1210"/>
      <c r="M5" s="1210"/>
      <c r="N5" s="1210"/>
      <c r="O5" s="1210"/>
      <c r="P5" s="1210"/>
      <c r="Q5" s="1210"/>
      <c r="R5" s="1210"/>
    </row>
    <row r="6" spans="1:18" ht="14.85" customHeight="1">
      <c r="A6" s="1211" t="s">
        <v>2002</v>
      </c>
      <c r="B6" s="1211"/>
      <c r="C6" s="1211"/>
      <c r="D6" s="1211"/>
      <c r="E6" s="1211"/>
      <c r="F6" s="1211"/>
      <c r="G6" s="1211"/>
      <c r="H6" s="1211"/>
      <c r="I6" s="1211"/>
      <c r="J6" s="1067"/>
      <c r="K6" s="1067" t="s">
        <v>1955</v>
      </c>
      <c r="L6" s="1066"/>
      <c r="M6" s="1068"/>
      <c r="N6" s="1066"/>
      <c r="O6" s="1069"/>
      <c r="P6" s="1066"/>
      <c r="Q6" s="1069"/>
      <c r="R6" s="1066"/>
    </row>
    <row r="7" spans="1:18" ht="14.85" customHeight="1">
      <c r="A7" s="1067"/>
      <c r="B7" s="1067"/>
      <c r="C7" s="1067"/>
      <c r="D7" s="1067"/>
      <c r="E7" s="1067"/>
      <c r="F7" s="1067"/>
      <c r="G7" s="1067"/>
      <c r="H7" s="1067"/>
      <c r="I7" s="1067"/>
      <c r="J7" s="1067"/>
      <c r="K7" s="1066" t="s">
        <v>1956</v>
      </c>
      <c r="L7" s="1066"/>
      <c r="N7" s="1070" t="s">
        <v>1957</v>
      </c>
      <c r="O7" s="1066"/>
      <c r="P7" s="1066"/>
      <c r="Q7" s="1066"/>
      <c r="R7" s="1069"/>
    </row>
    <row r="8" spans="1:18" ht="14.85" customHeight="1">
      <c r="A8" s="1211" t="s">
        <v>2003</v>
      </c>
      <c r="B8" s="1211"/>
      <c r="C8" s="1211"/>
      <c r="D8" s="1211"/>
      <c r="E8" s="1211"/>
      <c r="F8" s="1211"/>
      <c r="G8" s="1211"/>
      <c r="H8" s="1211"/>
      <c r="I8" s="1211"/>
      <c r="J8" s="1067"/>
      <c r="K8" s="1066" t="s">
        <v>1958</v>
      </c>
      <c r="L8" s="1066"/>
      <c r="N8" s="1070" t="s">
        <v>1959</v>
      </c>
      <c r="O8" s="1066" t="s">
        <v>1960</v>
      </c>
      <c r="P8" s="1066"/>
      <c r="Q8" s="1071">
        <v>1080</v>
      </c>
      <c r="R8" s="1069" t="s">
        <v>1961</v>
      </c>
    </row>
    <row r="9" spans="1:18" ht="14.85" customHeight="1">
      <c r="A9" s="1207" t="s">
        <v>2004</v>
      </c>
      <c r="B9" s="1207"/>
      <c r="C9" s="1207"/>
      <c r="D9" s="1207"/>
      <c r="E9" s="1207"/>
      <c r="F9" s="1207"/>
      <c r="G9" s="1207"/>
      <c r="H9" s="1207"/>
      <c r="I9" s="1207"/>
      <c r="J9" s="1067"/>
      <c r="K9" s="1066"/>
      <c r="L9" s="1066"/>
      <c r="N9" s="1070"/>
      <c r="O9" s="1066"/>
      <c r="P9" s="1066"/>
      <c r="Q9" s="1071"/>
      <c r="R9" s="1069"/>
    </row>
    <row r="10" spans="1:18" ht="14.85" customHeight="1">
      <c r="A10" s="1208"/>
      <c r="B10" s="1208"/>
      <c r="C10" s="1208"/>
      <c r="D10" s="1208"/>
      <c r="E10" s="1208"/>
      <c r="F10" s="1208"/>
      <c r="G10" s="1208"/>
      <c r="H10" s="1208"/>
      <c r="I10" s="1208"/>
      <c r="K10" s="1072" t="s">
        <v>1962</v>
      </c>
      <c r="L10" s="1066"/>
      <c r="N10" s="1070"/>
      <c r="O10" s="1066"/>
      <c r="P10" s="1066"/>
      <c r="Q10" s="1071"/>
      <c r="R10" s="1069"/>
    </row>
    <row r="11" spans="1:18" ht="14.45" customHeight="1">
      <c r="A11" s="1216" t="s">
        <v>2012</v>
      </c>
      <c r="B11" s="1216"/>
      <c r="C11" s="1216"/>
      <c r="D11" s="1216"/>
      <c r="E11" s="1216"/>
      <c r="F11" s="1216"/>
      <c r="G11" s="1216"/>
      <c r="H11" s="1216"/>
      <c r="I11" s="1216"/>
      <c r="J11" s="1100"/>
      <c r="K11" s="1100"/>
      <c r="L11" s="1066"/>
      <c r="N11" s="1070" t="s">
        <v>1964</v>
      </c>
      <c r="O11" s="1066"/>
      <c r="P11" s="1066"/>
      <c r="Q11" s="1071"/>
      <c r="R11" s="1069"/>
    </row>
    <row r="12" spans="1:18" ht="14.45" customHeight="1">
      <c r="C12" s="1074"/>
      <c r="D12" s="1203"/>
      <c r="E12" s="1203"/>
      <c r="F12" s="1203"/>
      <c r="G12" s="1203"/>
      <c r="H12" s="1203"/>
      <c r="I12" s="1203"/>
      <c r="K12" s="1066" t="s">
        <v>1956</v>
      </c>
      <c r="L12" s="1066"/>
      <c r="N12" s="1070" t="s">
        <v>1957</v>
      </c>
      <c r="O12" s="1066"/>
      <c r="P12" s="1066"/>
      <c r="Q12" s="1071"/>
      <c r="R12" s="1069"/>
    </row>
    <row r="13" spans="1:18" ht="14.45" customHeight="1">
      <c r="A13" s="1202" t="s">
        <v>2005</v>
      </c>
      <c r="B13" s="1202"/>
      <c r="C13" s="1202"/>
      <c r="D13" s="1202"/>
      <c r="E13" s="1202"/>
      <c r="F13" s="1202"/>
      <c r="G13" s="1202"/>
      <c r="H13" s="1202"/>
      <c r="I13" s="1202"/>
      <c r="J13" s="1101"/>
      <c r="K13" s="1066" t="s">
        <v>1966</v>
      </c>
      <c r="L13" s="1066"/>
      <c r="N13" s="1070" t="s">
        <v>1967</v>
      </c>
      <c r="O13" s="1066" t="s">
        <v>1968</v>
      </c>
      <c r="P13" s="1066"/>
      <c r="Q13" s="1071">
        <v>480</v>
      </c>
      <c r="R13" s="1069" t="s">
        <v>1961</v>
      </c>
    </row>
    <row r="14" spans="1:18" ht="14.45" customHeight="1">
      <c r="K14" s="1066"/>
      <c r="L14" s="1066"/>
      <c r="N14" s="1070"/>
      <c r="O14" s="1066"/>
      <c r="P14" s="1066"/>
      <c r="Q14" s="1071"/>
      <c r="R14" s="1069"/>
    </row>
    <row r="15" spans="1:18" ht="14.45" customHeight="1">
      <c r="A15" s="1203" t="s">
        <v>2006</v>
      </c>
      <c r="B15" s="1203"/>
      <c r="C15" s="1203"/>
      <c r="D15" s="1203"/>
      <c r="E15" s="1203"/>
      <c r="F15" s="1203"/>
      <c r="G15" s="1203"/>
      <c r="H15" s="1203"/>
      <c r="I15" s="1203"/>
      <c r="J15" s="1102"/>
      <c r="K15" s="1072" t="s">
        <v>1970</v>
      </c>
      <c r="L15" s="1072"/>
      <c r="N15" s="1070"/>
      <c r="O15" s="1066"/>
      <c r="P15" s="1066"/>
      <c r="Q15" s="1071"/>
      <c r="R15" s="1069"/>
    </row>
    <row r="16" spans="1:18" ht="14.45" customHeight="1">
      <c r="A16" s="1203" t="s">
        <v>1965</v>
      </c>
      <c r="B16" s="1203"/>
      <c r="C16" s="1203"/>
      <c r="D16" s="1203"/>
      <c r="E16" s="1203"/>
      <c r="F16" s="1203"/>
      <c r="G16" s="1203"/>
      <c r="H16" s="1203"/>
      <c r="I16" s="1203"/>
      <c r="J16" s="1102"/>
      <c r="K16" s="1066" t="s">
        <v>1963</v>
      </c>
      <c r="L16" s="1066"/>
      <c r="N16" s="1069" t="s">
        <v>1971</v>
      </c>
      <c r="O16" s="1066"/>
      <c r="P16" s="1066"/>
      <c r="Q16" s="1071"/>
      <c r="R16" s="1069"/>
    </row>
    <row r="17" spans="1:19" ht="14.45" customHeight="1">
      <c r="A17" s="1203" t="s">
        <v>2007</v>
      </c>
      <c r="B17" s="1203"/>
      <c r="C17" s="1203"/>
      <c r="D17" s="1203"/>
      <c r="E17" s="1203"/>
      <c r="F17" s="1203"/>
      <c r="G17" s="1203"/>
      <c r="H17" s="1203"/>
      <c r="I17" s="1203"/>
      <c r="J17" s="1102"/>
      <c r="K17" s="1066" t="s">
        <v>1956</v>
      </c>
      <c r="L17" s="1066"/>
      <c r="N17" s="1070" t="s">
        <v>1957</v>
      </c>
      <c r="O17" s="1066"/>
      <c r="P17" s="1066"/>
      <c r="Q17" s="1071"/>
      <c r="R17" s="1069"/>
    </row>
    <row r="18" spans="1:19" ht="14.45" customHeight="1">
      <c r="A18" s="1096"/>
      <c r="B18" s="1097"/>
      <c r="C18" s="1098"/>
      <c r="D18" s="1098"/>
      <c r="E18" s="1097"/>
      <c r="F18" s="1097"/>
      <c r="G18" s="1097"/>
      <c r="H18" s="1097"/>
      <c r="I18" s="1097"/>
      <c r="K18" s="1066" t="s">
        <v>1966</v>
      </c>
      <c r="L18" s="1066"/>
      <c r="N18" s="1070" t="s">
        <v>1967</v>
      </c>
      <c r="O18" s="1066" t="s">
        <v>1972</v>
      </c>
      <c r="P18" s="1066"/>
      <c r="Q18" s="1071">
        <v>320</v>
      </c>
      <c r="R18" s="1069" t="s">
        <v>1961</v>
      </c>
    </row>
    <row r="19" spans="1:19" ht="14.45" customHeight="1">
      <c r="A19" s="1204" t="s">
        <v>1969</v>
      </c>
      <c r="B19" s="1204"/>
      <c r="C19" s="1204"/>
      <c r="D19" s="1204"/>
      <c r="E19" s="1204"/>
      <c r="F19" s="1204"/>
      <c r="G19" s="1204"/>
      <c r="H19" s="1204"/>
      <c r="I19" s="1204"/>
      <c r="J19" s="1099"/>
      <c r="K19" s="1066"/>
      <c r="L19" s="1066"/>
      <c r="N19" s="1070"/>
      <c r="O19" s="1066"/>
      <c r="P19" s="1066"/>
      <c r="Q19" s="1071"/>
      <c r="R19" s="1069"/>
    </row>
    <row r="20" spans="1:19" ht="14.45" customHeight="1">
      <c r="C20" s="1208"/>
      <c r="D20" s="1208"/>
      <c r="E20" s="1208"/>
      <c r="F20" s="1208"/>
      <c r="G20" s="1208"/>
      <c r="H20" s="1208"/>
      <c r="I20" s="1208"/>
      <c r="K20" s="1072" t="s">
        <v>1973</v>
      </c>
      <c r="L20" s="1066"/>
      <c r="N20" s="1070"/>
      <c r="O20" s="1066"/>
      <c r="P20" s="1066"/>
      <c r="Q20" s="1071"/>
      <c r="R20" s="1069"/>
    </row>
    <row r="21" spans="1:19" ht="14.45" customHeight="1">
      <c r="A21" s="1214" t="s">
        <v>2008</v>
      </c>
      <c r="B21" s="1214"/>
      <c r="C21" s="1214"/>
      <c r="D21" s="1214"/>
      <c r="E21" s="1214"/>
      <c r="F21" s="1214"/>
      <c r="G21" s="1214"/>
      <c r="H21" s="1214"/>
      <c r="I21" s="1214"/>
      <c r="J21" s="1103"/>
      <c r="K21" s="1066" t="s">
        <v>1963</v>
      </c>
      <c r="L21" s="1066"/>
      <c r="N21" s="1070" t="s">
        <v>1967</v>
      </c>
      <c r="O21" s="1066"/>
      <c r="P21" s="1066"/>
      <c r="Q21" s="1071"/>
      <c r="R21" s="1069"/>
    </row>
    <row r="22" spans="1:19" ht="14.45" customHeight="1">
      <c r="A22" s="1205" t="s">
        <v>2035</v>
      </c>
      <c r="B22" s="1206"/>
      <c r="C22" s="1206"/>
      <c r="D22" s="1206"/>
      <c r="E22" s="1206"/>
      <c r="F22" s="1206"/>
      <c r="G22" s="1206"/>
      <c r="H22" s="1206"/>
      <c r="I22" s="1206"/>
      <c r="J22" s="1103"/>
      <c r="K22" s="1066" t="s">
        <v>1956</v>
      </c>
      <c r="L22" s="1066"/>
      <c r="N22" s="1070" t="s">
        <v>1957</v>
      </c>
      <c r="O22" s="1066"/>
      <c r="P22" s="1066"/>
      <c r="Q22" s="1071"/>
      <c r="R22" s="1069"/>
      <c r="S22" s="1075"/>
    </row>
    <row r="23" spans="1:19" ht="14.45" customHeight="1">
      <c r="A23" s="1215" t="s">
        <v>2009</v>
      </c>
      <c r="B23" s="1214"/>
      <c r="C23" s="1214"/>
      <c r="D23" s="1214"/>
      <c r="E23" s="1214"/>
      <c r="F23" s="1214"/>
      <c r="G23" s="1214"/>
      <c r="H23" s="1214"/>
      <c r="I23" s="1214"/>
      <c r="J23" s="1076"/>
      <c r="K23" s="1066" t="s">
        <v>1958</v>
      </c>
      <c r="L23" s="1066"/>
      <c r="N23" s="1070" t="s">
        <v>1967</v>
      </c>
      <c r="O23" s="1066" t="s">
        <v>1974</v>
      </c>
      <c r="P23" s="1066"/>
      <c r="Q23" s="1071">
        <v>240</v>
      </c>
      <c r="R23" s="1069" t="s">
        <v>1961</v>
      </c>
    </row>
    <row r="24" spans="1:19" ht="14.45" customHeight="1">
      <c r="A24" s="27"/>
      <c r="B24" s="37"/>
      <c r="C24" s="37"/>
      <c r="D24" s="37"/>
      <c r="E24" s="37"/>
      <c r="F24" s="37"/>
      <c r="G24" s="37"/>
      <c r="H24" s="37"/>
      <c r="I24" s="37"/>
      <c r="J24" s="1076"/>
      <c r="K24" s="1066"/>
      <c r="N24" s="1070"/>
      <c r="O24" s="1066"/>
      <c r="P24" s="1066"/>
      <c r="Q24" s="1071"/>
      <c r="R24" s="1069"/>
    </row>
    <row r="25" spans="1:19" ht="14.45" customHeight="1">
      <c r="A25" s="1088"/>
      <c r="B25" s="1106" t="s">
        <v>2013</v>
      </c>
      <c r="C25" s="1106"/>
      <c r="D25" s="1106"/>
      <c r="E25" s="1106"/>
      <c r="F25" s="1106"/>
      <c r="G25" s="1107"/>
      <c r="H25" s="1107"/>
      <c r="I25" s="1107"/>
      <c r="K25" s="1072" t="s">
        <v>1975</v>
      </c>
      <c r="L25" s="1066"/>
      <c r="N25" s="1070"/>
      <c r="O25" s="1066"/>
      <c r="P25" s="1066"/>
      <c r="Q25" s="1071"/>
      <c r="R25" s="1069"/>
    </row>
    <row r="26" spans="1:19" ht="14.45" customHeight="1">
      <c r="A26" s="1108"/>
      <c r="B26" s="1106" t="s">
        <v>2014</v>
      </c>
      <c r="C26" s="1106"/>
      <c r="D26" s="1106"/>
      <c r="E26" s="1106"/>
      <c r="F26" s="1106"/>
      <c r="G26" s="1106"/>
      <c r="H26" s="1106"/>
      <c r="I26" s="1106"/>
      <c r="K26" s="1066" t="s">
        <v>1963</v>
      </c>
      <c r="L26" s="1066"/>
      <c r="N26" s="1070" t="s">
        <v>1976</v>
      </c>
      <c r="O26" s="1066"/>
      <c r="P26" s="1066"/>
      <c r="Q26" s="1071"/>
      <c r="R26" s="1069"/>
    </row>
    <row r="27" spans="1:19" ht="14.45" customHeight="1">
      <c r="A27" s="27"/>
      <c r="B27" s="1106" t="s">
        <v>2015</v>
      </c>
      <c r="C27" s="1106"/>
      <c r="D27" s="1106"/>
      <c r="E27" s="1106"/>
      <c r="F27" s="1106"/>
      <c r="G27" s="27"/>
      <c r="H27" s="27"/>
      <c r="I27" s="27"/>
      <c r="J27" s="1073"/>
      <c r="K27" s="1066" t="s">
        <v>1956</v>
      </c>
      <c r="L27" s="1066"/>
      <c r="N27" s="1070" t="s">
        <v>1957</v>
      </c>
      <c r="O27" s="1066"/>
      <c r="P27" s="1066"/>
      <c r="Q27" s="1071"/>
      <c r="R27" s="1069"/>
    </row>
    <row r="28" spans="1:19" ht="14.45" customHeight="1">
      <c r="A28" s="1104"/>
      <c r="B28" s="1107" t="s">
        <v>2016</v>
      </c>
      <c r="C28" s="1107"/>
      <c r="D28" s="1107"/>
      <c r="E28" s="1107"/>
      <c r="F28" s="1111"/>
      <c r="G28" s="1111"/>
      <c r="H28" s="1111"/>
      <c r="I28" s="1106"/>
      <c r="K28" s="1066" t="s">
        <v>1958</v>
      </c>
      <c r="L28" s="1066"/>
      <c r="N28" s="1070" t="s">
        <v>1967</v>
      </c>
      <c r="O28" s="1066" t="s">
        <v>1978</v>
      </c>
      <c r="P28" s="1066"/>
      <c r="Q28" s="1071">
        <v>120</v>
      </c>
      <c r="R28" s="1069" t="s">
        <v>1961</v>
      </c>
    </row>
    <row r="29" spans="1:19" ht="14.45" customHeight="1" thickBot="1">
      <c r="A29" s="1105"/>
      <c r="B29" s="27"/>
      <c r="C29" s="27"/>
      <c r="D29" s="27"/>
      <c r="E29" s="27"/>
      <c r="F29" s="27"/>
      <c r="G29" s="27"/>
      <c r="H29" s="1107"/>
      <c r="I29" s="1107"/>
      <c r="J29" s="1113"/>
      <c r="K29" s="1066"/>
      <c r="L29" s="1066"/>
      <c r="N29" s="1070"/>
      <c r="O29" s="1066"/>
      <c r="P29" s="1066"/>
      <c r="Q29" s="1071"/>
      <c r="R29" s="1069"/>
    </row>
    <row r="30" spans="1:19" ht="14.45" customHeight="1">
      <c r="A30" s="1185" t="s">
        <v>1977</v>
      </c>
      <c r="B30" s="1186"/>
      <c r="C30" s="1186"/>
      <c r="D30" s="1186"/>
      <c r="E30" s="1186"/>
      <c r="F30" s="1186"/>
      <c r="G30" s="1186"/>
      <c r="H30" s="1186"/>
      <c r="I30" s="1186"/>
      <c r="J30" s="1112"/>
      <c r="K30" s="1072" t="s">
        <v>1979</v>
      </c>
      <c r="L30" s="1072"/>
      <c r="N30" s="1070"/>
      <c r="O30" s="1066"/>
      <c r="P30" s="1066"/>
      <c r="Q30" s="1071"/>
      <c r="R30" s="1069"/>
    </row>
    <row r="31" spans="1:19" ht="14.45" customHeight="1">
      <c r="A31" s="1195" t="s">
        <v>2010</v>
      </c>
      <c r="B31" s="1196"/>
      <c r="C31" s="1196"/>
      <c r="D31" s="1196"/>
      <c r="E31" s="1196"/>
      <c r="F31" s="1196"/>
      <c r="G31" s="1196"/>
      <c r="H31" s="1196"/>
      <c r="I31" s="1196"/>
      <c r="J31" s="1112"/>
      <c r="K31" s="1066" t="s">
        <v>1963</v>
      </c>
      <c r="L31" s="1066"/>
      <c r="N31" s="1070" t="s">
        <v>1981</v>
      </c>
      <c r="O31" s="1066"/>
      <c r="P31" s="1066"/>
      <c r="Q31" s="1071"/>
      <c r="R31" s="1069"/>
    </row>
    <row r="32" spans="1:19" ht="14.45" customHeight="1" thickBot="1">
      <c r="A32" s="1197" t="s">
        <v>2017</v>
      </c>
      <c r="B32" s="1198"/>
      <c r="C32" s="1198"/>
      <c r="D32" s="1198"/>
      <c r="E32" s="1198"/>
      <c r="F32" s="1198"/>
      <c r="G32" s="1198"/>
      <c r="H32" s="1198"/>
      <c r="I32" s="1198"/>
      <c r="K32" s="1066" t="s">
        <v>1956</v>
      </c>
      <c r="L32" s="1066"/>
      <c r="N32" s="1070" t="s">
        <v>1957</v>
      </c>
      <c r="O32" s="1066"/>
      <c r="P32" s="1066"/>
      <c r="Q32" s="1071"/>
      <c r="R32" s="1069"/>
    </row>
    <row r="33" spans="1:18" ht="14.45" customHeight="1">
      <c r="A33" s="1109"/>
      <c r="B33" s="1110"/>
      <c r="C33" s="1110"/>
      <c r="D33" s="1110"/>
      <c r="E33" s="1110"/>
      <c r="F33" s="1110"/>
      <c r="G33" s="1110"/>
      <c r="H33" s="1110"/>
      <c r="I33" s="1110"/>
      <c r="K33" s="1066" t="s">
        <v>1958</v>
      </c>
      <c r="L33" s="1066"/>
      <c r="N33" s="1070" t="s">
        <v>1976</v>
      </c>
      <c r="O33" s="1066" t="s">
        <v>1984</v>
      </c>
      <c r="P33" s="1066"/>
      <c r="Q33" s="1071">
        <v>80</v>
      </c>
      <c r="R33" s="1069" t="s">
        <v>1961</v>
      </c>
    </row>
    <row r="34" spans="1:18" ht="14.45" customHeight="1">
      <c r="A34" s="1133" t="s">
        <v>1980</v>
      </c>
      <c r="B34" s="1133"/>
      <c r="C34" s="1133"/>
      <c r="D34" s="1133"/>
      <c r="E34" s="1133"/>
      <c r="F34" s="1131"/>
      <c r="G34" s="1129" t="s">
        <v>2028</v>
      </c>
      <c r="H34" s="1129"/>
      <c r="I34" s="1129"/>
      <c r="J34" s="1077" t="s">
        <v>1985</v>
      </c>
      <c r="K34" s="1066"/>
      <c r="L34" s="1066"/>
      <c r="N34" s="1068"/>
      <c r="O34" s="1066"/>
      <c r="P34" s="1066"/>
      <c r="Q34" s="1071"/>
      <c r="R34" s="1069"/>
    </row>
    <row r="35" spans="1:18" ht="15" customHeight="1">
      <c r="A35" s="1133" t="s">
        <v>1982</v>
      </c>
      <c r="B35" s="1133"/>
      <c r="C35" s="1133"/>
      <c r="D35" s="1133"/>
      <c r="E35" s="1133"/>
      <c r="F35" s="1132"/>
      <c r="G35" s="1130" t="s">
        <v>2029</v>
      </c>
      <c r="H35" s="1130"/>
      <c r="I35" s="1130"/>
      <c r="K35" s="1072" t="s">
        <v>1986</v>
      </c>
      <c r="L35" s="1066"/>
      <c r="N35" s="1068"/>
      <c r="O35" s="1066"/>
      <c r="P35" s="1066"/>
      <c r="Q35" s="1071"/>
      <c r="R35" s="1069"/>
    </row>
    <row r="36" spans="1:18" ht="14.45" customHeight="1">
      <c r="A36" s="1133" t="s">
        <v>1983</v>
      </c>
      <c r="B36" s="1133"/>
      <c r="C36" s="1133"/>
      <c r="D36" s="1133"/>
      <c r="E36" s="1133"/>
      <c r="F36" s="1132"/>
      <c r="G36" s="1130" t="s">
        <v>2030</v>
      </c>
      <c r="H36" s="1130"/>
      <c r="I36" s="1130"/>
      <c r="K36" s="1066" t="s">
        <v>1963</v>
      </c>
      <c r="L36" s="1066"/>
      <c r="N36" s="1070" t="s">
        <v>1981</v>
      </c>
      <c r="O36" s="1066"/>
      <c r="P36" s="1066"/>
      <c r="Q36" s="1071"/>
      <c r="R36" s="1069"/>
    </row>
    <row r="37" spans="1:18" ht="14.45" customHeight="1">
      <c r="K37" s="1066" t="s">
        <v>1956</v>
      </c>
      <c r="L37" s="1066"/>
      <c r="N37" s="1070" t="s">
        <v>1957</v>
      </c>
      <c r="O37" s="1066"/>
      <c r="P37" s="1066"/>
      <c r="Q37" s="1071"/>
      <c r="R37" s="1069"/>
    </row>
    <row r="38" spans="1:18" ht="13.5" customHeight="1">
      <c r="A38" s="1187" t="s">
        <v>1987</v>
      </c>
      <c r="B38" s="1187"/>
      <c r="C38" s="1187"/>
      <c r="E38" s="1188"/>
      <c r="F38" s="1189"/>
      <c r="G38" s="1190"/>
      <c r="J38" s="1078"/>
      <c r="K38" s="1066" t="s">
        <v>1958</v>
      </c>
      <c r="L38" s="1066"/>
      <c r="N38" s="1070" t="s">
        <v>1967</v>
      </c>
      <c r="O38" s="1066" t="s">
        <v>1988</v>
      </c>
      <c r="P38" s="1066"/>
      <c r="Q38" s="1071">
        <v>80</v>
      </c>
      <c r="R38" s="1069" t="s">
        <v>1961</v>
      </c>
    </row>
    <row r="39" spans="1:18" ht="14.45" customHeight="1">
      <c r="K39" s="1066"/>
      <c r="L39" s="1066"/>
      <c r="N39" s="1068"/>
      <c r="O39" s="1066"/>
      <c r="P39" s="1066"/>
      <c r="Q39" s="1071"/>
      <c r="R39" s="1069"/>
    </row>
    <row r="40" spans="1:18" ht="14.45" customHeight="1">
      <c r="A40" s="1187" t="s">
        <v>1989</v>
      </c>
      <c r="B40" s="1187"/>
      <c r="C40" s="1187"/>
      <c r="E40" s="1188"/>
      <c r="F40" s="1189"/>
      <c r="G40" s="1190"/>
      <c r="K40" s="1072" t="s">
        <v>1990</v>
      </c>
      <c r="L40" s="1066"/>
      <c r="N40" s="1068"/>
      <c r="O40" s="1066"/>
      <c r="P40" s="1066"/>
      <c r="Q40" s="1071"/>
      <c r="R40" s="1069"/>
    </row>
    <row r="41" spans="1:18" ht="14.45" customHeight="1">
      <c r="K41" s="1066" t="s">
        <v>1991</v>
      </c>
      <c r="L41" s="1066"/>
      <c r="N41" s="1070" t="s">
        <v>1992</v>
      </c>
      <c r="O41" s="1066" t="s">
        <v>1993</v>
      </c>
      <c r="P41" s="1066"/>
      <c r="Q41" s="1071">
        <v>100</v>
      </c>
      <c r="R41" s="1069" t="s">
        <v>1961</v>
      </c>
    </row>
    <row r="42" spans="1:18" ht="14.45" customHeight="1">
      <c r="A42" s="1187" t="s">
        <v>1998</v>
      </c>
      <c r="B42" s="1187"/>
      <c r="C42" s="1187"/>
      <c r="E42" s="1188"/>
      <c r="F42" s="1189"/>
      <c r="G42" s="1190"/>
      <c r="J42" s="1074"/>
    </row>
    <row r="43" spans="1:18" ht="15.95" customHeight="1">
      <c r="K43" s="1080" t="s">
        <v>1995</v>
      </c>
      <c r="L43" s="1080"/>
      <c r="M43" s="1080"/>
      <c r="N43" s="1080"/>
      <c r="O43" s="1080"/>
      <c r="P43" s="1080"/>
      <c r="Q43" s="1080">
        <v>2500</v>
      </c>
      <c r="R43" s="1080" t="s">
        <v>1961</v>
      </c>
    </row>
    <row r="44" spans="1:18" ht="15.95" customHeight="1">
      <c r="A44" s="1191" t="s">
        <v>1999</v>
      </c>
      <c r="B44" s="1191"/>
      <c r="C44" s="1191"/>
      <c r="E44" s="1192"/>
      <c r="F44" s="1193"/>
      <c r="G44" s="1194"/>
      <c r="K44" s="1080"/>
      <c r="L44" s="1080"/>
      <c r="M44" s="1080"/>
      <c r="N44" s="1080"/>
      <c r="O44" s="1080"/>
      <c r="P44" s="1080"/>
      <c r="Q44" s="1080"/>
      <c r="R44" s="1080"/>
    </row>
    <row r="45" spans="1:18" ht="15.95" customHeight="1">
      <c r="A45" s="1093"/>
      <c r="B45" s="1093"/>
      <c r="C45" s="1093"/>
      <c r="E45" s="1094"/>
      <c r="F45" s="1094"/>
      <c r="G45" s="1094"/>
    </row>
    <row r="46" spans="1:18" ht="15.95" customHeight="1">
      <c r="A46" s="1089" t="s">
        <v>1994</v>
      </c>
      <c r="B46" s="1090"/>
      <c r="C46" s="1090"/>
      <c r="D46" s="1090"/>
      <c r="E46" s="1090"/>
      <c r="F46" s="1090"/>
      <c r="G46" s="1090"/>
      <c r="H46" s="1090"/>
      <c r="I46" s="1091"/>
      <c r="K46" s="1114" t="s">
        <v>2018</v>
      </c>
      <c r="L46" s="1115"/>
      <c r="M46" s="1115"/>
      <c r="N46" s="1115"/>
      <c r="O46" s="1115"/>
      <c r="P46" s="1116"/>
      <c r="Q46" s="1119"/>
      <c r="R46" s="1119"/>
    </row>
    <row r="47" spans="1:18" ht="15.95" customHeight="1">
      <c r="A47" s="936"/>
      <c r="B47" s="899"/>
      <c r="C47" s="899"/>
      <c r="D47" s="899"/>
      <c r="E47" s="899"/>
      <c r="F47" s="899"/>
      <c r="G47" s="899"/>
      <c r="H47" s="899"/>
      <c r="I47" s="900"/>
      <c r="K47" s="1121"/>
      <c r="L47" s="1122"/>
      <c r="M47" s="1122"/>
      <c r="N47" s="1122"/>
      <c r="O47" s="1122"/>
      <c r="P47" s="1123"/>
      <c r="Q47" s="1120"/>
      <c r="R47" s="37"/>
    </row>
    <row r="48" spans="1:18" ht="19.5" customHeight="1">
      <c r="A48" s="1081" t="s">
        <v>1996</v>
      </c>
      <c r="B48" s="1082"/>
      <c r="C48" s="1082"/>
      <c r="D48" s="1082"/>
      <c r="E48" s="1082"/>
      <c r="F48" s="1082"/>
      <c r="G48" s="1082"/>
      <c r="H48" s="1083" t="s">
        <v>1997</v>
      </c>
      <c r="I48" s="1126"/>
      <c r="J48" s="1074"/>
      <c r="K48" s="1199" t="s">
        <v>2019</v>
      </c>
      <c r="L48" s="1200"/>
      <c r="M48" s="1200"/>
      <c r="N48" s="1200"/>
      <c r="O48" s="1200"/>
      <c r="P48" s="1201"/>
      <c r="Q48" s="1119"/>
      <c r="R48" s="1119"/>
    </row>
    <row r="49" spans="1:18" ht="15.95" customHeight="1">
      <c r="A49" s="1085" t="s">
        <v>2027</v>
      </c>
      <c r="B49" s="1086"/>
      <c r="C49" s="1086"/>
      <c r="D49" s="1086"/>
      <c r="E49" s="1086"/>
      <c r="F49" s="1086"/>
      <c r="G49" s="1086"/>
      <c r="H49" s="1086"/>
      <c r="I49" s="1087"/>
      <c r="K49" s="1084"/>
      <c r="L49" s="1122"/>
      <c r="M49" s="1122"/>
      <c r="N49" s="1122"/>
      <c r="O49" s="1122"/>
      <c r="P49" s="1123"/>
      <c r="Q49" s="1120"/>
      <c r="R49" s="37"/>
    </row>
    <row r="50" spans="1:18" ht="15.95" customHeight="1">
      <c r="A50" s="936"/>
      <c r="B50" s="899"/>
      <c r="C50" s="899"/>
      <c r="D50" s="899"/>
      <c r="E50" s="899"/>
      <c r="F50" s="899"/>
      <c r="G50" s="899"/>
      <c r="H50" s="899"/>
      <c r="I50" s="900"/>
      <c r="K50" s="1084" t="s">
        <v>2020</v>
      </c>
      <c r="L50" s="1117"/>
      <c r="M50" s="1117"/>
      <c r="N50" s="1117"/>
      <c r="O50" s="1117"/>
      <c r="P50" s="1118"/>
      <c r="Q50" s="1119"/>
      <c r="R50" s="1119"/>
    </row>
    <row r="51" spans="1:18" ht="15.95" customHeight="1">
      <c r="A51" s="936"/>
      <c r="B51" s="899"/>
      <c r="C51" s="899"/>
      <c r="D51" s="899"/>
      <c r="E51" s="899"/>
      <c r="F51" s="899"/>
      <c r="G51" s="899"/>
      <c r="H51" s="899"/>
      <c r="I51" s="900"/>
      <c r="K51" s="1121"/>
      <c r="L51" s="1122"/>
      <c r="M51" s="1122"/>
      <c r="N51" s="1122"/>
      <c r="O51" s="1122"/>
      <c r="P51" s="1123"/>
      <c r="Q51" s="1120"/>
      <c r="R51" s="37"/>
    </row>
    <row r="52" spans="1:18" ht="15.95" customHeight="1">
      <c r="A52" s="1179" t="s">
        <v>2022</v>
      </c>
      <c r="B52" s="1180"/>
      <c r="C52" s="1180"/>
      <c r="D52" s="1180"/>
      <c r="E52" s="1180"/>
      <c r="F52" s="1180"/>
      <c r="G52" s="1180"/>
      <c r="H52" s="1180"/>
      <c r="I52" s="1181"/>
      <c r="K52" s="1179" t="s">
        <v>2024</v>
      </c>
      <c r="L52" s="1180"/>
      <c r="M52" s="1180"/>
      <c r="N52" s="1180"/>
      <c r="O52" s="1180"/>
      <c r="P52" s="1181"/>
      <c r="Q52" s="1119"/>
      <c r="R52" s="1119"/>
    </row>
    <row r="53" spans="1:18" ht="15.95" customHeight="1">
      <c r="A53" s="936"/>
      <c r="B53" s="899"/>
      <c r="C53" s="899"/>
      <c r="D53" s="899"/>
      <c r="E53" s="899"/>
      <c r="F53" s="899"/>
      <c r="G53" s="899"/>
      <c r="H53" s="899"/>
      <c r="I53" s="900"/>
      <c r="K53" s="1121"/>
      <c r="L53" s="1122"/>
      <c r="M53" s="1122"/>
      <c r="N53" s="1122"/>
      <c r="O53" s="1122"/>
      <c r="P53" s="1123"/>
      <c r="Q53" s="1120"/>
      <c r="R53" s="37"/>
    </row>
    <row r="54" spans="1:18" ht="18.75" customHeight="1">
      <c r="A54" s="1176" t="s">
        <v>2023</v>
      </c>
      <c r="B54" s="1177"/>
      <c r="C54" s="1177"/>
      <c r="D54" s="1177"/>
      <c r="E54" s="1177"/>
      <c r="F54" s="1177"/>
      <c r="G54" s="1177"/>
      <c r="H54" s="1177"/>
      <c r="I54" s="1178"/>
      <c r="K54" s="1182" t="s">
        <v>2025</v>
      </c>
      <c r="L54" s="1183"/>
      <c r="M54" s="1183"/>
      <c r="N54" s="1183"/>
      <c r="O54" s="1183"/>
      <c r="P54" s="1184"/>
      <c r="Q54" s="1125" t="s">
        <v>2021</v>
      </c>
      <c r="R54" s="1124" t="s">
        <v>2026</v>
      </c>
    </row>
    <row r="55" spans="1:18" ht="16.5" customHeight="1"/>
    <row r="56" spans="1:18" ht="16.5" customHeight="1">
      <c r="A56" s="37"/>
      <c r="B56" s="37"/>
      <c r="C56" s="37"/>
      <c r="D56" s="37"/>
      <c r="E56" s="37"/>
      <c r="F56" s="37"/>
      <c r="G56" s="37"/>
      <c r="H56" s="37"/>
      <c r="I56" s="37"/>
    </row>
    <row r="57" spans="1:18" ht="16.5" customHeight="1">
      <c r="A57" s="27"/>
      <c r="Q57"/>
    </row>
    <row r="58" spans="1:18">
      <c r="A58" s="27"/>
      <c r="Q58"/>
    </row>
    <row r="59" spans="1:18">
      <c r="A59" s="27"/>
    </row>
    <row r="60" spans="1:18">
      <c r="A60" s="27"/>
    </row>
    <row r="61" spans="1:18">
      <c r="A61" s="27"/>
    </row>
    <row r="62" spans="1:18">
      <c r="A62" s="27"/>
    </row>
    <row r="63" spans="1:18">
      <c r="A63" s="27"/>
    </row>
    <row r="64" spans="1:18">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sheetData>
  <mergeCells count="36">
    <mergeCell ref="A9:I9"/>
    <mergeCell ref="A42:C42"/>
    <mergeCell ref="C20:I20"/>
    <mergeCell ref="K1:R2"/>
    <mergeCell ref="K4:R5"/>
    <mergeCell ref="A6:I6"/>
    <mergeCell ref="A8:I8"/>
    <mergeCell ref="A1:I2"/>
    <mergeCell ref="A5:I5"/>
    <mergeCell ref="A4:I4"/>
    <mergeCell ref="A10:I10"/>
    <mergeCell ref="D12:I12"/>
    <mergeCell ref="A17:I17"/>
    <mergeCell ref="A21:I21"/>
    <mergeCell ref="A23:I23"/>
    <mergeCell ref="A11:I11"/>
    <mergeCell ref="A13:I13"/>
    <mergeCell ref="A15:I15"/>
    <mergeCell ref="A16:I16"/>
    <mergeCell ref="A19:I19"/>
    <mergeCell ref="A52:I52"/>
    <mergeCell ref="A22:I22"/>
    <mergeCell ref="A54:I54"/>
    <mergeCell ref="K52:P52"/>
    <mergeCell ref="K54:P54"/>
    <mergeCell ref="A30:I30"/>
    <mergeCell ref="A38:C38"/>
    <mergeCell ref="E38:G38"/>
    <mergeCell ref="A40:C40"/>
    <mergeCell ref="E40:G40"/>
    <mergeCell ref="A44:C44"/>
    <mergeCell ref="E44:G44"/>
    <mergeCell ref="E42:G42"/>
    <mergeCell ref="A31:I31"/>
    <mergeCell ref="A32:I32"/>
    <mergeCell ref="K48:P48"/>
  </mergeCells>
  <hyperlinks>
    <hyperlink ref="A22" r:id="rId1" xr:uid="{DD71B503-BC59-47FE-B2BF-CFF586329689}"/>
  </hyperlinks>
  <printOptions horizontalCentered="1"/>
  <pageMargins left="0.39370078740157483" right="0.39370078740157483" top="0.39370078740157483" bottom="0.39370078740157483" header="1.4960629921259843" footer="0.31496062992125984"/>
  <pageSetup paperSize="9"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53" t="str">
        <f>Language!$E$127</f>
        <v xml:space="preserve">Voorspellingsklassificatie </v>
      </c>
      <c r="C1" s="1353"/>
      <c r="D1" s="1353"/>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row r="105" spans="2:10"/>
    <row r="106"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389" t="str">
        <f>Language!$E$223</f>
        <v>Instellingen</v>
      </c>
      <c r="C1" s="1389"/>
      <c r="D1" s="1389"/>
      <c r="E1" s="1389"/>
      <c r="F1" s="1389"/>
    </row>
    <row r="2" spans="2:15"/>
    <row r="3" spans="2:15" ht="16.5" thickBot="1">
      <c r="B3" s="1393" t="str">
        <f>Language!$E$222</f>
        <v>Factoren</v>
      </c>
      <c r="C3" s="1393"/>
      <c r="D3" s="1393"/>
      <c r="E3" s="1393"/>
      <c r="F3" s="1393"/>
      <c r="H3" s="1393" t="str">
        <f>Language!$E$223</f>
        <v>Instellingen</v>
      </c>
      <c r="I3" s="1393"/>
      <c r="J3" s="1393"/>
      <c r="K3" s="1393"/>
      <c r="L3" s="1393"/>
      <c r="M3" s="1393"/>
      <c r="N3" s="1393"/>
      <c r="O3" s="1393"/>
    </row>
    <row r="4" spans="2:15" ht="24" thickTop="1">
      <c r="B4" s="1397" t="str">
        <f>Language!$E$225</f>
        <v>Gewonnen/Gelijkspel/Verloren:</v>
      </c>
      <c r="C4" s="1398"/>
      <c r="D4" s="1398"/>
      <c r="E4" s="1398"/>
      <c r="F4" s="345">
        <v>5</v>
      </c>
      <c r="H4" s="1390" t="str">
        <f>Language!$E$236</f>
        <v>Punten voor verschil in doelpunten bij een gelijkspel:</v>
      </c>
      <c r="I4" s="1391"/>
      <c r="J4" s="1391"/>
      <c r="K4" s="1391"/>
      <c r="L4" s="1392"/>
      <c r="M4" s="339" t="s">
        <v>1691</v>
      </c>
      <c r="N4" s="336"/>
      <c r="O4" s="337" t="str">
        <f>IF(M4="●",Language!E237,Language!E238)</f>
        <v>ja</v>
      </c>
    </row>
    <row r="5" spans="2:15" ht="18" customHeight="1">
      <c r="B5" s="1367" t="str">
        <f>Language!$E$226</f>
        <v>verschil in doelpunten</v>
      </c>
      <c r="C5" s="1368"/>
      <c r="D5" s="1368"/>
      <c r="E5" s="1368"/>
      <c r="F5" s="346">
        <v>5</v>
      </c>
      <c r="H5" s="1394"/>
      <c r="I5" s="1395"/>
      <c r="J5" s="1395"/>
      <c r="K5" s="1395"/>
      <c r="L5" s="1395"/>
      <c r="M5" s="1395"/>
      <c r="N5" s="1395"/>
      <c r="O5" s="1396"/>
    </row>
    <row r="6" spans="2:15" ht="18" customHeight="1">
      <c r="B6" s="1367" t="str">
        <f>Language!$E$228</f>
        <v>exact aantal doelpunten</v>
      </c>
      <c r="C6" s="1368"/>
      <c r="D6" s="1368"/>
      <c r="E6" s="1368"/>
      <c r="F6" s="346">
        <v>10</v>
      </c>
      <c r="H6" s="1362" t="str">
        <f>Language!$E$239</f>
        <v>min. aantal goals voor de keuze: 'veel doelpunten' (bij gelijkspel):</v>
      </c>
      <c r="I6" s="1363"/>
      <c r="J6" s="1363"/>
      <c r="K6" s="1363"/>
      <c r="L6" s="1364"/>
      <c r="M6" s="340">
        <v>4</v>
      </c>
      <c r="N6" s="343"/>
      <c r="O6" s="334"/>
    </row>
    <row r="7" spans="2:15" ht="18" customHeight="1">
      <c r="B7" s="1367" t="str">
        <f>Language!$E$227</f>
        <v>Veel doelpunten - goede voorspelling</v>
      </c>
      <c r="C7" s="1368"/>
      <c r="D7" s="1368"/>
      <c r="E7" s="1368"/>
      <c r="F7" s="346">
        <v>3</v>
      </c>
      <c r="H7" s="1362" t="str">
        <f>Language!$E$240</f>
        <v>min. aantal goals voor de keuze: 'groot verschil in doelpunten':</v>
      </c>
      <c r="I7" s="1363"/>
      <c r="J7" s="1363"/>
      <c r="K7" s="1363"/>
      <c r="L7" s="1364"/>
      <c r="M7" s="340">
        <v>4</v>
      </c>
      <c r="N7" s="344"/>
      <c r="O7" s="334"/>
    </row>
    <row r="8" spans="2:15" ht="18" customHeight="1">
      <c r="B8" s="1375" t="str">
        <f>Language!$E$229</f>
        <v>juiste voorspelling van team dat achtste finales bereikt</v>
      </c>
      <c r="C8" s="1376"/>
      <c r="D8" s="1376"/>
      <c r="E8" s="1376"/>
      <c r="F8" s="347">
        <v>10</v>
      </c>
      <c r="H8" s="1362" t="str">
        <f>Language!$E$243</f>
        <v>Hoeveel doelpunten worden minimaal bedoeld bij de keuze: 'veel doelpunten'?</v>
      </c>
      <c r="I8" s="1363"/>
      <c r="J8" s="1363"/>
      <c r="K8" s="1363"/>
      <c r="L8" s="1364"/>
      <c r="M8" s="340">
        <v>8</v>
      </c>
      <c r="N8" s="350"/>
      <c r="O8" s="334"/>
    </row>
    <row r="9" spans="2:15" ht="18" customHeight="1" thickBot="1">
      <c r="B9" s="1387" t="str">
        <f>Language!$E$235</f>
        <v>Finale/derde plaats winnaar:</v>
      </c>
      <c r="C9" s="1388"/>
      <c r="D9" s="1388"/>
      <c r="E9" s="1388"/>
      <c r="F9" s="348">
        <v>10</v>
      </c>
      <c r="H9" s="1365"/>
      <c r="I9" s="1366"/>
      <c r="J9" s="1366"/>
      <c r="K9" s="1366"/>
      <c r="L9" s="1366"/>
      <c r="M9" s="351"/>
      <c r="N9" s="351"/>
      <c r="O9" s="335"/>
    </row>
    <row r="10" spans="2:15" ht="15.75" thickTop="1"/>
    <row r="11" spans="2:15"/>
    <row r="12" spans="2:15" ht="16.5" thickBot="1">
      <c r="H12" s="1377" t="str">
        <f>Language!$E$221</f>
        <v>Opmerking:</v>
      </c>
      <c r="I12" s="1377"/>
      <c r="J12" s="1377"/>
      <c r="K12" s="1377"/>
      <c r="L12" s="1377"/>
      <c r="M12" s="1377"/>
      <c r="N12" s="1377"/>
      <c r="O12" s="1377"/>
    </row>
    <row r="13" spans="2:15" ht="21.75" customHeight="1" thickTop="1">
      <c r="H13" s="1381" t="s">
        <v>26</v>
      </c>
      <c r="I13" s="1382"/>
      <c r="J13" s="1382"/>
      <c r="K13" s="1382"/>
      <c r="L13" s="1382"/>
      <c r="M13" s="1382"/>
      <c r="N13" s="1382"/>
      <c r="O13" s="1383"/>
    </row>
    <row r="14" spans="2:15" ht="15" customHeight="1">
      <c r="H14" s="1369" t="str">
        <f>Language!$E$242</f>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I14" s="1370"/>
      <c r="J14" s="1370"/>
      <c r="K14" s="1370"/>
      <c r="L14" s="1370"/>
      <c r="M14" s="1370"/>
      <c r="N14" s="1370"/>
      <c r="O14" s="1371"/>
    </row>
    <row r="15" spans="2:15" ht="15" customHeight="1">
      <c r="H15" s="1369"/>
      <c r="I15" s="1370"/>
      <c r="J15" s="1370"/>
      <c r="K15" s="1370"/>
      <c r="L15" s="1370"/>
      <c r="M15" s="1370"/>
      <c r="N15" s="1370"/>
      <c r="O15" s="1371"/>
    </row>
    <row r="16" spans="2:15" ht="15" customHeight="1">
      <c r="H16" s="1369"/>
      <c r="I16" s="1370"/>
      <c r="J16" s="1370"/>
      <c r="K16" s="1370"/>
      <c r="L16" s="1370"/>
      <c r="M16" s="1370"/>
      <c r="N16" s="1370"/>
      <c r="O16" s="1371"/>
    </row>
    <row r="17" spans="8:15" ht="15" customHeight="1">
      <c r="H17" s="1369"/>
      <c r="I17" s="1370"/>
      <c r="J17" s="1370"/>
      <c r="K17" s="1370"/>
      <c r="L17" s="1370"/>
      <c r="M17" s="1370"/>
      <c r="N17" s="1370"/>
      <c r="O17" s="1371"/>
    </row>
    <row r="18" spans="8:15" ht="15" customHeight="1">
      <c r="H18" s="1378"/>
      <c r="I18" s="1379"/>
      <c r="J18" s="1379"/>
      <c r="K18" s="1379"/>
      <c r="L18" s="1379"/>
      <c r="M18" s="1379"/>
      <c r="N18" s="1379"/>
      <c r="O18" s="1380"/>
    </row>
    <row r="19" spans="8:15" ht="30" customHeight="1">
      <c r="H19" s="1384" t="s">
        <v>27</v>
      </c>
      <c r="I19" s="1385"/>
      <c r="J19" s="1385"/>
      <c r="K19" s="1385"/>
      <c r="L19" s="1385"/>
      <c r="M19" s="1385"/>
      <c r="N19" s="1385"/>
      <c r="O19" s="1386"/>
    </row>
    <row r="20" spans="8:15" ht="15" customHeight="1">
      <c r="H20" s="1369" t="str">
        <f>Language!$E$241</f>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I20" s="1370"/>
      <c r="J20" s="1370"/>
      <c r="K20" s="1370"/>
      <c r="L20" s="1370"/>
      <c r="M20" s="1370"/>
      <c r="N20" s="1370"/>
      <c r="O20" s="1371"/>
    </row>
    <row r="21" spans="8:15">
      <c r="H21" s="1369"/>
      <c r="I21" s="1370"/>
      <c r="J21" s="1370"/>
      <c r="K21" s="1370"/>
      <c r="L21" s="1370"/>
      <c r="M21" s="1370"/>
      <c r="N21" s="1370"/>
      <c r="O21" s="1371"/>
    </row>
    <row r="22" spans="8:15">
      <c r="H22" s="1369"/>
      <c r="I22" s="1370"/>
      <c r="J22" s="1370"/>
      <c r="K22" s="1370"/>
      <c r="L22" s="1370"/>
      <c r="M22" s="1370"/>
      <c r="N22" s="1370"/>
      <c r="O22" s="1371"/>
    </row>
    <row r="23" spans="8:15">
      <c r="H23" s="1369"/>
      <c r="I23" s="1370"/>
      <c r="J23" s="1370"/>
      <c r="K23" s="1370"/>
      <c r="L23" s="1370"/>
      <c r="M23" s="1370"/>
      <c r="N23" s="1370"/>
      <c r="O23" s="1371"/>
    </row>
    <row r="24" spans="8:15">
      <c r="H24" s="1369"/>
      <c r="I24" s="1370"/>
      <c r="J24" s="1370"/>
      <c r="K24" s="1370"/>
      <c r="L24" s="1370"/>
      <c r="M24" s="1370"/>
      <c r="N24" s="1370"/>
      <c r="O24" s="1371"/>
    </row>
    <row r="25" spans="8:15">
      <c r="H25" s="1369"/>
      <c r="I25" s="1370"/>
      <c r="J25" s="1370"/>
      <c r="K25" s="1370"/>
      <c r="L25" s="1370"/>
      <c r="M25" s="1370"/>
      <c r="N25" s="1370"/>
      <c r="O25" s="1371"/>
    </row>
    <row r="26" spans="8:15">
      <c r="H26" s="1369"/>
      <c r="I26" s="1370"/>
      <c r="J26" s="1370"/>
      <c r="K26" s="1370"/>
      <c r="L26" s="1370"/>
      <c r="M26" s="1370"/>
      <c r="N26" s="1370"/>
      <c r="O26" s="1371"/>
    </row>
    <row r="27" spans="8:15">
      <c r="H27" s="1369"/>
      <c r="I27" s="1370"/>
      <c r="J27" s="1370"/>
      <c r="K27" s="1370"/>
      <c r="L27" s="1370"/>
      <c r="M27" s="1370"/>
      <c r="N27" s="1370"/>
      <c r="O27" s="1371"/>
    </row>
    <row r="28" spans="8:15" ht="15.75" thickBot="1">
      <c r="H28" s="1372"/>
      <c r="I28" s="1373"/>
      <c r="J28" s="1373"/>
      <c r="K28" s="1373"/>
      <c r="L28" s="1373"/>
      <c r="M28" s="1373"/>
      <c r="N28" s="1373"/>
      <c r="O28" s="1374"/>
    </row>
    <row r="29" spans="8:15" ht="15.75" thickTop="1"/>
    <row r="30" spans="8:15"/>
    <row r="31" spans="8:15"/>
  </sheetData>
  <sheetProtection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topLeftCell="A91" zoomScaleNormal="100" workbookViewId="0">
      <selection activeCell="K15" sqref="K15"/>
    </sheetView>
  </sheetViews>
  <sheetFormatPr defaultColWidth="0" defaultRowHeight="1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24"/>
      <c r="D1" s="866"/>
      <c r="F1" s="1401" t="str">
        <f>Language!$E$126</f>
        <v>Kies taal</v>
      </c>
      <c r="G1" s="1401"/>
      <c r="H1" s="1401"/>
      <c r="I1" s="1401"/>
      <c r="J1" s="1401"/>
      <c r="K1" s="365"/>
      <c r="L1" s="1402" t="str">
        <f>Language!$E$196</f>
        <v>Klik hier en kies de taal:</v>
      </c>
      <c r="M1" s="1403"/>
      <c r="N1" s="368" t="s">
        <v>739</v>
      </c>
      <c r="O1" s="395" t="s">
        <v>559</v>
      </c>
    </row>
    <row r="2" spans="2:15" ht="11.25" customHeight="1" thickBot="1">
      <c r="D2" s="228">
        <v>46113</v>
      </c>
      <c r="F2" s="1404"/>
      <c r="G2" s="1404"/>
      <c r="H2" s="1404"/>
      <c r="I2" s="1404"/>
      <c r="J2" s="1404"/>
      <c r="K2" s="366"/>
      <c r="M2" s="94"/>
      <c r="N2" s="96"/>
    </row>
    <row r="3" spans="2:15" ht="15.75" thickTop="1">
      <c r="B3" s="25" t="s">
        <v>88</v>
      </c>
      <c r="C3" s="42">
        <f>IF(AND($N$1&lt;&gt;B4,$N$1&lt;&gt;B5,$N$1&lt;&gt;B6,$N$1&lt;&gt;B7,$N$1&lt;&gt;B8,$N$1&lt;&gt;B9),1,0)</f>
        <v>0</v>
      </c>
      <c r="D3" s="1405" t="s">
        <v>558</v>
      </c>
      <c r="E3" s="1409"/>
      <c r="F3" s="1410" t="s">
        <v>88</v>
      </c>
      <c r="G3" s="1407" t="s">
        <v>89</v>
      </c>
      <c r="H3" s="1407" t="s">
        <v>90</v>
      </c>
      <c r="I3" s="1412" t="s">
        <v>91</v>
      </c>
      <c r="J3" s="1407" t="s">
        <v>110</v>
      </c>
      <c r="K3" s="1407" t="s">
        <v>739</v>
      </c>
      <c r="L3" s="1399" t="s">
        <v>92</v>
      </c>
      <c r="M3" s="23"/>
    </row>
    <row r="4" spans="2:15">
      <c r="B4" s="25" t="s">
        <v>89</v>
      </c>
      <c r="C4" s="42">
        <f t="shared" ref="C4:C9" si="0">IF($N$1=B4,1,0)</f>
        <v>0</v>
      </c>
      <c r="D4" s="1406"/>
      <c r="E4" s="1409"/>
      <c r="F4" s="1411"/>
      <c r="G4" s="1408"/>
      <c r="H4" s="1408"/>
      <c r="I4" s="1413"/>
      <c r="J4" s="1408"/>
      <c r="K4" s="1414"/>
      <c r="L4" s="1400"/>
      <c r="M4" s="47"/>
      <c r="N4" s="48"/>
    </row>
    <row r="5" spans="2:15">
      <c r="B5" s="25" t="s">
        <v>90</v>
      </c>
      <c r="C5" s="42">
        <f t="shared" si="0"/>
        <v>0</v>
      </c>
      <c r="D5" s="182">
        <v>1</v>
      </c>
      <c r="E5" s="205" t="str">
        <f>IF($C$3,F5,IF($C$4,G5,IF($C$5,H5,IF($C$6,I5,IF($C$7,J5,IF($C$8,K5,IF(L5&lt;&gt;"",L5,F5)))))))</f>
        <v>Frankrijk</v>
      </c>
      <c r="F5" s="133" t="s">
        <v>39</v>
      </c>
      <c r="G5" s="134" t="s">
        <v>67</v>
      </c>
      <c r="H5" s="132" t="s">
        <v>67</v>
      </c>
      <c r="I5" s="135" t="s">
        <v>39</v>
      </c>
      <c r="J5" s="132" t="s">
        <v>101</v>
      </c>
      <c r="K5" s="628" t="s">
        <v>742</v>
      </c>
      <c r="L5" s="73"/>
    </row>
    <row r="6" spans="2:15">
      <c r="B6" s="25" t="s">
        <v>91</v>
      </c>
      <c r="C6" s="42">
        <f t="shared" si="0"/>
        <v>0</v>
      </c>
      <c r="D6" s="182">
        <v>2</v>
      </c>
      <c r="E6" s="205" t="str">
        <f t="shared" ref="E6:E69" si="1">IF($C$3,F6,IF($C$4,G6,IF($C$5,H6,IF($C$6,I6,IF($C$7,J6,IF($C$8,K6,IF(L6&lt;&gt;"",L6,F6)))))))</f>
        <v>Spanje</v>
      </c>
      <c r="F6" s="133" t="s">
        <v>38</v>
      </c>
      <c r="G6" s="134" t="s">
        <v>65</v>
      </c>
      <c r="H6" s="132" t="s">
        <v>81</v>
      </c>
      <c r="I6" s="135" t="s">
        <v>82</v>
      </c>
      <c r="J6" s="132" t="s">
        <v>103</v>
      </c>
      <c r="K6" s="628" t="s">
        <v>840</v>
      </c>
      <c r="L6" s="73"/>
    </row>
    <row r="7" spans="2:15">
      <c r="B7" s="25" t="s">
        <v>110</v>
      </c>
      <c r="C7" s="42">
        <f t="shared" si="0"/>
        <v>0</v>
      </c>
      <c r="D7" s="182">
        <v>3</v>
      </c>
      <c r="E7" s="205" t="str">
        <f t="shared" si="1"/>
        <v>Argentinië</v>
      </c>
      <c r="F7" s="133" t="s">
        <v>337</v>
      </c>
      <c r="G7" s="134" t="s">
        <v>337</v>
      </c>
      <c r="H7" s="132" t="s">
        <v>337</v>
      </c>
      <c r="I7" s="135" t="s">
        <v>390</v>
      </c>
      <c r="J7" s="132" t="s">
        <v>255</v>
      </c>
      <c r="K7" s="628" t="s">
        <v>743</v>
      </c>
      <c r="L7" s="73"/>
    </row>
    <row r="8" spans="2:15">
      <c r="B8" s="25" t="s">
        <v>739</v>
      </c>
      <c r="C8" s="42">
        <f t="shared" si="0"/>
        <v>1</v>
      </c>
      <c r="D8" s="182">
        <v>4</v>
      </c>
      <c r="E8" s="205" t="str">
        <f t="shared" si="1"/>
        <v>Engeland</v>
      </c>
      <c r="F8" s="133" t="s">
        <v>1</v>
      </c>
      <c r="G8" s="134" t="s">
        <v>62</v>
      </c>
      <c r="H8" s="132" t="s">
        <v>76</v>
      </c>
      <c r="I8" s="135" t="s">
        <v>77</v>
      </c>
      <c r="J8" s="132" t="s">
        <v>1</v>
      </c>
      <c r="K8" s="628" t="s">
        <v>744</v>
      </c>
      <c r="L8" s="73"/>
    </row>
    <row r="9" spans="2:15">
      <c r="B9" s="25" t="s">
        <v>92</v>
      </c>
      <c r="C9" s="42">
        <f t="shared" si="0"/>
        <v>0</v>
      </c>
      <c r="D9" s="182">
        <v>5</v>
      </c>
      <c r="E9" s="205" t="str">
        <f t="shared" si="1"/>
        <v>Portugal</v>
      </c>
      <c r="F9" s="133" t="s">
        <v>0</v>
      </c>
      <c r="G9" s="134" t="s">
        <v>0</v>
      </c>
      <c r="H9" s="132" t="s">
        <v>85</v>
      </c>
      <c r="I9" s="135" t="s">
        <v>0</v>
      </c>
      <c r="J9" s="132" t="s">
        <v>0</v>
      </c>
      <c r="K9" s="628" t="s">
        <v>0</v>
      </c>
      <c r="L9" s="73"/>
    </row>
    <row r="10" spans="2:15">
      <c r="D10" s="182">
        <v>6</v>
      </c>
      <c r="E10" s="205" t="str">
        <f t="shared" si="1"/>
        <v>Brazilië</v>
      </c>
      <c r="F10" s="133" t="s">
        <v>342</v>
      </c>
      <c r="G10" s="134" t="s">
        <v>343</v>
      </c>
      <c r="H10" s="132" t="s">
        <v>344</v>
      </c>
      <c r="I10" s="135" t="s">
        <v>345</v>
      </c>
      <c r="J10" s="132" t="s">
        <v>170</v>
      </c>
      <c r="K10" s="628" t="s">
        <v>740</v>
      </c>
      <c r="L10" s="73"/>
    </row>
    <row r="11" spans="2:15">
      <c r="D11" s="182">
        <v>7</v>
      </c>
      <c r="E11" s="205" t="str">
        <f t="shared" si="1"/>
        <v>Nederland</v>
      </c>
      <c r="F11" s="133" t="s">
        <v>411</v>
      </c>
      <c r="G11" s="134" t="s">
        <v>452</v>
      </c>
      <c r="H11" s="132" t="s">
        <v>453</v>
      </c>
      <c r="I11" s="135" t="s">
        <v>454</v>
      </c>
      <c r="J11" s="132" t="s">
        <v>455</v>
      </c>
      <c r="K11" s="628" t="s">
        <v>745</v>
      </c>
      <c r="L11" s="73"/>
    </row>
    <row r="12" spans="2:15">
      <c r="D12" s="182">
        <v>8</v>
      </c>
      <c r="E12" s="205" t="str">
        <f t="shared" si="1"/>
        <v>Marokko</v>
      </c>
      <c r="F12" s="133" t="s">
        <v>328</v>
      </c>
      <c r="G12" s="134" t="s">
        <v>329</v>
      </c>
      <c r="H12" s="132" t="s">
        <v>330</v>
      </c>
      <c r="I12" s="135" t="s">
        <v>331</v>
      </c>
      <c r="J12" s="132" t="s">
        <v>252</v>
      </c>
      <c r="K12" s="628" t="s">
        <v>252</v>
      </c>
      <c r="L12" s="73"/>
    </row>
    <row r="13" spans="2:15">
      <c r="D13" s="182">
        <v>9</v>
      </c>
      <c r="E13" s="205" t="str">
        <f t="shared" si="1"/>
        <v>België</v>
      </c>
      <c r="F13" s="133" t="s">
        <v>36</v>
      </c>
      <c r="G13" s="134" t="s">
        <v>60</v>
      </c>
      <c r="H13" s="132" t="s">
        <v>73</v>
      </c>
      <c r="I13" s="135" t="s">
        <v>74</v>
      </c>
      <c r="J13" s="132" t="s">
        <v>107</v>
      </c>
      <c r="K13" s="628" t="s">
        <v>741</v>
      </c>
      <c r="L13" s="73"/>
    </row>
    <row r="14" spans="2:15">
      <c r="D14" s="182">
        <v>10</v>
      </c>
      <c r="E14" s="205" t="str">
        <f t="shared" si="1"/>
        <v>Duitsland</v>
      </c>
      <c r="F14" s="133" t="s">
        <v>37</v>
      </c>
      <c r="G14" s="134" t="s">
        <v>68</v>
      </c>
      <c r="H14" s="132" t="s">
        <v>86</v>
      </c>
      <c r="I14" s="135" t="s">
        <v>87</v>
      </c>
      <c r="J14" s="132" t="s">
        <v>102</v>
      </c>
      <c r="K14" s="628" t="s">
        <v>747</v>
      </c>
      <c r="L14" s="73"/>
    </row>
    <row r="15" spans="2:15">
      <c r="D15" s="182">
        <v>11</v>
      </c>
      <c r="E15" s="205" t="str">
        <f t="shared" si="1"/>
        <v>Kroatië</v>
      </c>
      <c r="F15" s="133" t="s">
        <v>41</v>
      </c>
      <c r="G15" s="134" t="s">
        <v>63</v>
      </c>
      <c r="H15" s="132" t="s">
        <v>78</v>
      </c>
      <c r="I15" s="135" t="s">
        <v>79</v>
      </c>
      <c r="J15" s="132" t="s">
        <v>109</v>
      </c>
      <c r="K15" s="628" t="s">
        <v>749</v>
      </c>
      <c r="L15" s="73"/>
    </row>
    <row r="16" spans="2:15">
      <c r="D16" s="182">
        <v>12</v>
      </c>
      <c r="E16" s="205" t="str">
        <f t="shared" si="1"/>
        <v>Italië</v>
      </c>
      <c r="F16" s="133" t="s">
        <v>410</v>
      </c>
      <c r="G16" s="134" t="s">
        <v>449</v>
      </c>
      <c r="H16" s="132" t="s">
        <v>449</v>
      </c>
      <c r="I16" s="135" t="s">
        <v>450</v>
      </c>
      <c r="J16" s="132" t="s">
        <v>451</v>
      </c>
      <c r="K16" s="628" t="s">
        <v>839</v>
      </c>
      <c r="L16" s="73"/>
    </row>
    <row r="17" spans="4:12">
      <c r="D17" s="182">
        <v>13</v>
      </c>
      <c r="E17" s="205" t="str">
        <f t="shared" si="1"/>
        <v>Colombia</v>
      </c>
      <c r="F17" s="133" t="s">
        <v>357</v>
      </c>
      <c r="G17" s="134" t="s">
        <v>357</v>
      </c>
      <c r="H17" s="132" t="s">
        <v>357</v>
      </c>
      <c r="I17" s="135" t="s">
        <v>358</v>
      </c>
      <c r="J17" s="132" t="s">
        <v>264</v>
      </c>
      <c r="K17" s="628" t="s">
        <v>357</v>
      </c>
      <c r="L17" s="73"/>
    </row>
    <row r="18" spans="4:12">
      <c r="D18" s="182">
        <v>14</v>
      </c>
      <c r="E18" s="205" t="str">
        <f t="shared" si="1"/>
        <v>Senegal</v>
      </c>
      <c r="F18" s="133" t="s">
        <v>263</v>
      </c>
      <c r="G18" s="134" t="s">
        <v>263</v>
      </c>
      <c r="H18" s="132" t="s">
        <v>263</v>
      </c>
      <c r="I18" s="135" t="s">
        <v>356</v>
      </c>
      <c r="J18" s="132" t="s">
        <v>263</v>
      </c>
      <c r="K18" s="628" t="s">
        <v>263</v>
      </c>
      <c r="L18" s="73"/>
    </row>
    <row r="19" spans="4:12">
      <c r="D19" s="182">
        <v>15</v>
      </c>
      <c r="E19" s="205" t="str">
        <f t="shared" si="1"/>
        <v>Mexico</v>
      </c>
      <c r="F19" s="133" t="s">
        <v>348</v>
      </c>
      <c r="G19" s="134" t="s">
        <v>349</v>
      </c>
      <c r="H19" s="132" t="s">
        <v>350</v>
      </c>
      <c r="I19" s="135" t="s">
        <v>351</v>
      </c>
      <c r="J19" s="132" t="s">
        <v>260</v>
      </c>
      <c r="K19" s="628" t="s">
        <v>348</v>
      </c>
      <c r="L19" s="73"/>
    </row>
    <row r="20" spans="4:12">
      <c r="D20" s="182">
        <v>16</v>
      </c>
      <c r="E20" s="205" t="str">
        <f t="shared" si="1"/>
        <v>USA</v>
      </c>
      <c r="F20" s="133" t="s">
        <v>456</v>
      </c>
      <c r="G20" s="134" t="s">
        <v>457</v>
      </c>
      <c r="H20" s="132" t="s">
        <v>456</v>
      </c>
      <c r="I20" s="135" t="s">
        <v>456</v>
      </c>
      <c r="J20" s="132" t="s">
        <v>456</v>
      </c>
      <c r="K20" s="628" t="s">
        <v>456</v>
      </c>
      <c r="L20" s="73"/>
    </row>
    <row r="21" spans="4:12">
      <c r="D21" s="182">
        <v>17</v>
      </c>
      <c r="E21" s="205" t="str">
        <f t="shared" si="1"/>
        <v>Uruguay</v>
      </c>
      <c r="F21" s="133" t="s">
        <v>251</v>
      </c>
      <c r="G21" s="134" t="s">
        <v>251</v>
      </c>
      <c r="H21" s="132" t="s">
        <v>251</v>
      </c>
      <c r="I21" s="135" t="s">
        <v>251</v>
      </c>
      <c r="J21" s="132" t="s">
        <v>251</v>
      </c>
      <c r="K21" s="628" t="s">
        <v>251</v>
      </c>
      <c r="L21" s="73"/>
    </row>
    <row r="22" spans="4:12">
      <c r="D22" s="182">
        <v>18</v>
      </c>
      <c r="E22" s="205" t="str">
        <f t="shared" si="1"/>
        <v>Japan</v>
      </c>
      <c r="F22" s="133" t="s">
        <v>265</v>
      </c>
      <c r="G22" s="134" t="s">
        <v>359</v>
      </c>
      <c r="H22" s="132" t="s">
        <v>360</v>
      </c>
      <c r="I22" s="135" t="s">
        <v>361</v>
      </c>
      <c r="J22" s="132" t="s">
        <v>265</v>
      </c>
      <c r="K22" s="628" t="s">
        <v>265</v>
      </c>
      <c r="L22" s="73"/>
    </row>
    <row r="23" spans="4:12">
      <c r="D23" s="182">
        <v>19</v>
      </c>
      <c r="E23" s="205" t="str">
        <f t="shared" si="1"/>
        <v>Zwitserland</v>
      </c>
      <c r="F23" s="133" t="s">
        <v>57</v>
      </c>
      <c r="G23" s="134" t="s">
        <v>58</v>
      </c>
      <c r="H23" s="132" t="s">
        <v>69</v>
      </c>
      <c r="I23" s="135" t="s">
        <v>70</v>
      </c>
      <c r="J23" s="132" t="s">
        <v>105</v>
      </c>
      <c r="K23" s="628" t="s">
        <v>748</v>
      </c>
      <c r="L23" s="73"/>
    </row>
    <row r="24" spans="4:12">
      <c r="D24" s="182">
        <v>20</v>
      </c>
      <c r="E24" s="205" t="str">
        <f t="shared" si="1"/>
        <v>Denemarken</v>
      </c>
      <c r="F24" s="133" t="s">
        <v>43</v>
      </c>
      <c r="G24" s="134" t="s">
        <v>59</v>
      </c>
      <c r="H24" s="132" t="s">
        <v>71</v>
      </c>
      <c r="I24" s="135" t="s">
        <v>72</v>
      </c>
      <c r="J24" s="132" t="s">
        <v>106</v>
      </c>
      <c r="K24" s="628" t="s">
        <v>746</v>
      </c>
      <c r="L24" s="73"/>
    </row>
    <row r="25" spans="4:12">
      <c r="D25" s="182">
        <v>21</v>
      </c>
      <c r="E25" s="205" t="str">
        <f t="shared" si="1"/>
        <v>Iran</v>
      </c>
      <c r="F25" s="133" t="s">
        <v>362</v>
      </c>
      <c r="G25" s="134" t="s">
        <v>1740</v>
      </c>
      <c r="H25" s="132" t="s">
        <v>362</v>
      </c>
      <c r="I25" s="135" t="s">
        <v>1739</v>
      </c>
      <c r="J25" s="132" t="s">
        <v>362</v>
      </c>
      <c r="K25" s="628" t="s">
        <v>1947</v>
      </c>
      <c r="L25" s="73"/>
    </row>
    <row r="26" spans="4:12">
      <c r="D26" s="182">
        <v>22</v>
      </c>
      <c r="E26" s="205" t="str">
        <f t="shared" si="1"/>
        <v>Turkije</v>
      </c>
      <c r="F26" s="133" t="s">
        <v>423</v>
      </c>
      <c r="G26" s="134" t="s">
        <v>485</v>
      </c>
      <c r="H26" s="132" t="s">
        <v>484</v>
      </c>
      <c r="I26" s="135" t="s">
        <v>483</v>
      </c>
      <c r="J26" s="132" t="s">
        <v>486</v>
      </c>
      <c r="K26" s="628" t="s">
        <v>761</v>
      </c>
      <c r="L26" s="73"/>
    </row>
    <row r="27" spans="4:12">
      <c r="D27" s="182">
        <v>23</v>
      </c>
      <c r="E27" s="205" t="str">
        <f t="shared" si="1"/>
        <v>Ecuador</v>
      </c>
      <c r="F27" s="133" t="s">
        <v>415</v>
      </c>
      <c r="G27" s="134" t="s">
        <v>415</v>
      </c>
      <c r="H27" s="132" t="s">
        <v>415</v>
      </c>
      <c r="I27" s="135" t="s">
        <v>464</v>
      </c>
      <c r="J27" s="132" t="s">
        <v>415</v>
      </c>
      <c r="K27" s="628" t="s">
        <v>415</v>
      </c>
      <c r="L27" s="73"/>
    </row>
    <row r="28" spans="4:12">
      <c r="D28" s="182">
        <v>24</v>
      </c>
      <c r="E28" s="205" t="str">
        <f t="shared" si="1"/>
        <v>Oostenrijk</v>
      </c>
      <c r="F28" s="133" t="s">
        <v>422</v>
      </c>
      <c r="G28" s="134" t="s">
        <v>422</v>
      </c>
      <c r="H28" s="132" t="s">
        <v>422</v>
      </c>
      <c r="I28" s="135" t="s">
        <v>481</v>
      </c>
      <c r="J28" s="132" t="s">
        <v>482</v>
      </c>
      <c r="K28" s="628" t="s">
        <v>753</v>
      </c>
      <c r="L28" s="73"/>
    </row>
    <row r="29" spans="4:12">
      <c r="D29" s="182">
        <v>25</v>
      </c>
      <c r="E29" s="205" t="str">
        <f t="shared" si="1"/>
        <v>Zuid-Korea</v>
      </c>
      <c r="F29" s="133" t="s">
        <v>1891</v>
      </c>
      <c r="G29" s="134" t="s">
        <v>1892</v>
      </c>
      <c r="H29" s="132" t="s">
        <v>1893</v>
      </c>
      <c r="I29" s="135" t="s">
        <v>1894</v>
      </c>
      <c r="J29" s="132" t="s">
        <v>1895</v>
      </c>
      <c r="K29" s="628" t="s">
        <v>1942</v>
      </c>
      <c r="L29" s="73"/>
    </row>
    <row r="30" spans="4:12">
      <c r="D30" s="182">
        <v>26</v>
      </c>
      <c r="E30" s="205" t="str">
        <f t="shared" si="1"/>
        <v>Nigeria</v>
      </c>
      <c r="F30" s="133" t="s">
        <v>257</v>
      </c>
      <c r="G30" s="134" t="s">
        <v>257</v>
      </c>
      <c r="H30" s="132" t="s">
        <v>257</v>
      </c>
      <c r="I30" s="135" t="s">
        <v>257</v>
      </c>
      <c r="J30" s="132" t="s">
        <v>257</v>
      </c>
      <c r="K30" s="628" t="s">
        <v>257</v>
      </c>
      <c r="L30" s="73"/>
    </row>
    <row r="31" spans="4:12">
      <c r="D31" s="182">
        <v>27</v>
      </c>
      <c r="E31" s="205" t="str">
        <f t="shared" si="1"/>
        <v>Australië</v>
      </c>
      <c r="F31" s="133" t="s">
        <v>332</v>
      </c>
      <c r="G31" s="134" t="s">
        <v>332</v>
      </c>
      <c r="H31" s="132" t="s">
        <v>332</v>
      </c>
      <c r="I31" s="135" t="s">
        <v>333</v>
      </c>
      <c r="J31" s="132" t="s">
        <v>253</v>
      </c>
      <c r="K31" s="628" t="s">
        <v>760</v>
      </c>
      <c r="L31" s="73"/>
    </row>
    <row r="32" spans="4:12">
      <c r="D32" s="182">
        <v>28</v>
      </c>
      <c r="E32" s="205" t="str">
        <f t="shared" si="1"/>
        <v>Algerije</v>
      </c>
      <c r="F32" s="133" t="s">
        <v>417</v>
      </c>
      <c r="G32" s="134" t="s">
        <v>469</v>
      </c>
      <c r="H32" s="132" t="s">
        <v>417</v>
      </c>
      <c r="I32" s="135" t="s">
        <v>467</v>
      </c>
      <c r="J32" s="132" t="s">
        <v>468</v>
      </c>
      <c r="K32" s="628" t="s">
        <v>762</v>
      </c>
      <c r="L32" s="73"/>
    </row>
    <row r="33" spans="4:12">
      <c r="D33" s="182">
        <v>29</v>
      </c>
      <c r="E33" s="205" t="str">
        <f t="shared" si="1"/>
        <v>Egypte</v>
      </c>
      <c r="F33" s="133" t="s">
        <v>324</v>
      </c>
      <c r="G33" s="134" t="s">
        <v>325</v>
      </c>
      <c r="H33" s="132" t="s">
        <v>326</v>
      </c>
      <c r="I33" s="135" t="s">
        <v>327</v>
      </c>
      <c r="J33" s="132" t="s">
        <v>250</v>
      </c>
      <c r="K33" s="628" t="s">
        <v>327</v>
      </c>
      <c r="L33" s="73"/>
    </row>
    <row r="34" spans="4:12">
      <c r="D34" s="182">
        <v>30</v>
      </c>
      <c r="E34" s="205" t="str">
        <f t="shared" si="1"/>
        <v>Canada</v>
      </c>
      <c r="F34" s="133" t="s">
        <v>419</v>
      </c>
      <c r="G34" s="134" t="s">
        <v>474</v>
      </c>
      <c r="H34" s="132" t="s">
        <v>419</v>
      </c>
      <c r="I34" s="135" t="s">
        <v>419</v>
      </c>
      <c r="J34" s="132" t="s">
        <v>475</v>
      </c>
      <c r="K34" s="628" t="s">
        <v>419</v>
      </c>
      <c r="L34" s="73"/>
    </row>
    <row r="35" spans="4:12">
      <c r="D35" s="182">
        <v>31</v>
      </c>
      <c r="E35" s="205" t="str">
        <f t="shared" si="1"/>
        <v>Noorwegen</v>
      </c>
      <c r="F35" s="133" t="s">
        <v>418</v>
      </c>
      <c r="G35" s="134" t="s">
        <v>470</v>
      </c>
      <c r="H35" s="132" t="s">
        <v>471</v>
      </c>
      <c r="I35" s="135" t="s">
        <v>472</v>
      </c>
      <c r="J35" s="132" t="s">
        <v>473</v>
      </c>
      <c r="K35" s="628" t="s">
        <v>759</v>
      </c>
      <c r="L35" s="73"/>
    </row>
    <row r="36" spans="4:12">
      <c r="D36" s="182">
        <v>32</v>
      </c>
      <c r="E36" s="205" t="str">
        <f t="shared" si="1"/>
        <v>Oekraïne</v>
      </c>
      <c r="F36" s="133" t="s">
        <v>414</v>
      </c>
      <c r="G36" s="134" t="s">
        <v>463</v>
      </c>
      <c r="H36" s="132" t="s">
        <v>462</v>
      </c>
      <c r="I36" s="135" t="s">
        <v>414</v>
      </c>
      <c r="J36" s="132" t="s">
        <v>414</v>
      </c>
      <c r="K36" s="628" t="s">
        <v>752</v>
      </c>
      <c r="L36" s="73"/>
    </row>
    <row r="37" spans="4:12">
      <c r="D37" s="182">
        <v>33</v>
      </c>
      <c r="E37" s="205" t="str">
        <f t="shared" si="1"/>
        <v>Panama</v>
      </c>
      <c r="F37" s="133" t="s">
        <v>261</v>
      </c>
      <c r="G37" s="134" t="s">
        <v>352</v>
      </c>
      <c r="H37" s="132" t="s">
        <v>261</v>
      </c>
      <c r="I37" s="135" t="s">
        <v>261</v>
      </c>
      <c r="J37" s="132" t="s">
        <v>261</v>
      </c>
      <c r="K37" s="628" t="s">
        <v>261</v>
      </c>
      <c r="L37" s="73"/>
    </row>
    <row r="38" spans="4:12">
      <c r="D38" s="182">
        <v>34</v>
      </c>
      <c r="E38" s="205" t="str">
        <f t="shared" si="1"/>
        <v>Ivoorkust</v>
      </c>
      <c r="F38" s="133" t="s">
        <v>431</v>
      </c>
      <c r="G38" s="134" t="s">
        <v>506</v>
      </c>
      <c r="H38" s="132" t="s">
        <v>505</v>
      </c>
      <c r="I38" s="135" t="s">
        <v>507</v>
      </c>
      <c r="J38" s="132" t="s">
        <v>508</v>
      </c>
      <c r="K38" s="628" t="s">
        <v>765</v>
      </c>
      <c r="L38" s="73"/>
    </row>
    <row r="39" spans="4:12">
      <c r="D39" s="182">
        <v>35</v>
      </c>
      <c r="E39" s="205" t="str">
        <f t="shared" si="1"/>
        <v>Polen</v>
      </c>
      <c r="F39" s="133" t="s">
        <v>40</v>
      </c>
      <c r="G39" s="134" t="s">
        <v>64</v>
      </c>
      <c r="H39" s="132" t="s">
        <v>64</v>
      </c>
      <c r="I39" s="135" t="s">
        <v>80</v>
      </c>
      <c r="J39" s="132" t="s">
        <v>100</v>
      </c>
      <c r="K39" s="628" t="s">
        <v>100</v>
      </c>
      <c r="L39" s="73"/>
    </row>
    <row r="40" spans="4:12">
      <c r="D40" s="182">
        <v>36</v>
      </c>
      <c r="E40" s="205" t="str">
        <f t="shared" si="1"/>
        <v>Rusland</v>
      </c>
      <c r="F40" s="133" t="s">
        <v>42</v>
      </c>
      <c r="G40" s="134" t="s">
        <v>61</v>
      </c>
      <c r="H40" s="132" t="s">
        <v>42</v>
      </c>
      <c r="I40" s="135" t="s">
        <v>75</v>
      </c>
      <c r="J40" s="132" t="s">
        <v>108</v>
      </c>
      <c r="K40" s="628" t="s">
        <v>755</v>
      </c>
      <c r="L40" s="73"/>
    </row>
    <row r="41" spans="4:12">
      <c r="D41" s="182">
        <v>37</v>
      </c>
      <c r="E41" s="205" t="str">
        <f t="shared" si="1"/>
        <v>Wales</v>
      </c>
      <c r="F41" s="133" t="s">
        <v>412</v>
      </c>
      <c r="G41" s="134" t="s">
        <v>461</v>
      </c>
      <c r="H41" s="132" t="s">
        <v>460</v>
      </c>
      <c r="I41" s="135" t="s">
        <v>459</v>
      </c>
      <c r="J41" s="132" t="s">
        <v>412</v>
      </c>
      <c r="K41" s="628" t="s">
        <v>412</v>
      </c>
      <c r="L41" s="73"/>
    </row>
    <row r="42" spans="4:12">
      <c r="D42" s="182">
        <v>38</v>
      </c>
      <c r="E42" s="205" t="str">
        <f t="shared" si="1"/>
        <v>Zweden</v>
      </c>
      <c r="F42" s="133" t="s">
        <v>44</v>
      </c>
      <c r="G42" s="134" t="s">
        <v>66</v>
      </c>
      <c r="H42" s="132" t="s">
        <v>83</v>
      </c>
      <c r="I42" s="135" t="s">
        <v>84</v>
      </c>
      <c r="J42" s="132" t="s">
        <v>104</v>
      </c>
      <c r="K42" s="628" t="s">
        <v>750</v>
      </c>
      <c r="L42" s="73"/>
    </row>
    <row r="43" spans="4:12">
      <c r="D43" s="182">
        <v>39</v>
      </c>
      <c r="E43" s="205" t="str">
        <f t="shared" si="1"/>
        <v>Servië</v>
      </c>
      <c r="F43" s="133" t="s">
        <v>346</v>
      </c>
      <c r="G43" s="134" t="s">
        <v>346</v>
      </c>
      <c r="H43" s="132" t="s">
        <v>346</v>
      </c>
      <c r="I43" s="135" t="s">
        <v>347</v>
      </c>
      <c r="J43" s="132" t="s">
        <v>259</v>
      </c>
      <c r="K43" s="628" t="s">
        <v>751</v>
      </c>
      <c r="L43" s="73"/>
    </row>
    <row r="44" spans="4:12">
      <c r="D44" s="182">
        <v>40</v>
      </c>
      <c r="E44" s="205" t="str">
        <f t="shared" si="1"/>
        <v>Paraguay</v>
      </c>
      <c r="F44" s="133" t="s">
        <v>413</v>
      </c>
      <c r="G44" s="134" t="s">
        <v>413</v>
      </c>
      <c r="H44" s="132" t="s">
        <v>413</v>
      </c>
      <c r="I44" s="135" t="s">
        <v>413</v>
      </c>
      <c r="J44" s="132" t="s">
        <v>413</v>
      </c>
      <c r="K44" s="628" t="s">
        <v>413</v>
      </c>
      <c r="L44" s="73"/>
    </row>
    <row r="45" spans="4:12">
      <c r="D45" s="182">
        <v>41</v>
      </c>
      <c r="E45" s="205" t="str">
        <f t="shared" si="1"/>
        <v>Tsjechië</v>
      </c>
      <c r="F45" s="133" t="s">
        <v>1885</v>
      </c>
      <c r="G45" s="134" t="s">
        <v>1886</v>
      </c>
      <c r="H45" s="132" t="s">
        <v>1887</v>
      </c>
      <c r="I45" s="135" t="s">
        <v>1888</v>
      </c>
      <c r="J45" s="132" t="s">
        <v>1889</v>
      </c>
      <c r="K45" s="628" t="s">
        <v>1890</v>
      </c>
      <c r="L45" s="73"/>
    </row>
    <row r="46" spans="4:12">
      <c r="D46" s="182">
        <v>42</v>
      </c>
      <c r="E46" s="205" t="str">
        <f t="shared" si="1"/>
        <v>Hongarije</v>
      </c>
      <c r="F46" s="133" t="s">
        <v>421</v>
      </c>
      <c r="G46" s="134" t="s">
        <v>480</v>
      </c>
      <c r="H46" s="132" t="s">
        <v>479</v>
      </c>
      <c r="I46" s="135" t="s">
        <v>477</v>
      </c>
      <c r="J46" s="132" t="s">
        <v>478</v>
      </c>
      <c r="K46" s="628" t="s">
        <v>758</v>
      </c>
      <c r="L46" s="73"/>
    </row>
    <row r="47" spans="4:12">
      <c r="D47" s="182">
        <v>43</v>
      </c>
      <c r="E47" s="205" t="str">
        <f t="shared" si="1"/>
        <v>Schotland</v>
      </c>
      <c r="F47" s="133" t="s">
        <v>429</v>
      </c>
      <c r="G47" s="134" t="s">
        <v>503</v>
      </c>
      <c r="H47" s="132" t="s">
        <v>502</v>
      </c>
      <c r="I47" s="135" t="s">
        <v>500</v>
      </c>
      <c r="J47" s="132" t="s">
        <v>501</v>
      </c>
      <c r="K47" s="628" t="s">
        <v>757</v>
      </c>
      <c r="L47" s="73"/>
    </row>
    <row r="48" spans="4:12">
      <c r="D48" s="182">
        <v>44</v>
      </c>
      <c r="E48" s="205" t="str">
        <f t="shared" si="1"/>
        <v>Tunesië</v>
      </c>
      <c r="F48" s="133" t="s">
        <v>353</v>
      </c>
      <c r="G48" s="134" t="s">
        <v>354</v>
      </c>
      <c r="H48" s="132" t="s">
        <v>353</v>
      </c>
      <c r="I48" s="135" t="s">
        <v>355</v>
      </c>
      <c r="J48" s="132" t="s">
        <v>262</v>
      </c>
      <c r="K48" s="628" t="s">
        <v>754</v>
      </c>
      <c r="L48" s="73"/>
    </row>
    <row r="49" spans="4:12">
      <c r="D49" s="182">
        <v>45</v>
      </c>
      <c r="E49" s="205" t="str">
        <f t="shared" si="1"/>
        <v>Kameroen</v>
      </c>
      <c r="F49" s="133" t="s">
        <v>440</v>
      </c>
      <c r="G49" s="134" t="s">
        <v>521</v>
      </c>
      <c r="H49" s="132" t="s">
        <v>523</v>
      </c>
      <c r="I49" s="135" t="s">
        <v>522</v>
      </c>
      <c r="J49" s="132" t="s">
        <v>524</v>
      </c>
      <c r="K49" s="628" t="s">
        <v>756</v>
      </c>
      <c r="L49" s="73"/>
    </row>
    <row r="50" spans="4:12">
      <c r="D50" s="182">
        <v>46</v>
      </c>
      <c r="E50" s="205" t="str">
        <f t="shared" si="1"/>
        <v>Congo</v>
      </c>
      <c r="F50" s="133" t="s">
        <v>1878</v>
      </c>
      <c r="G50" s="134" t="s">
        <v>1879</v>
      </c>
      <c r="H50" s="132" t="s">
        <v>1879</v>
      </c>
      <c r="I50" s="135" t="s">
        <v>1879</v>
      </c>
      <c r="J50" s="132" t="s">
        <v>1734</v>
      </c>
      <c r="K50" s="628" t="s">
        <v>1948</v>
      </c>
      <c r="L50" s="73"/>
    </row>
    <row r="51" spans="4:12">
      <c r="D51" s="182">
        <v>47</v>
      </c>
      <c r="E51" s="205" t="str">
        <f t="shared" si="1"/>
        <v>Griekenland</v>
      </c>
      <c r="F51" s="133" t="s">
        <v>425</v>
      </c>
      <c r="G51" s="134" t="s">
        <v>492</v>
      </c>
      <c r="H51" s="132" t="s">
        <v>492</v>
      </c>
      <c r="I51" s="135" t="s">
        <v>490</v>
      </c>
      <c r="J51" s="132" t="s">
        <v>491</v>
      </c>
      <c r="K51" s="628" t="s">
        <v>767</v>
      </c>
      <c r="L51" s="73"/>
    </row>
    <row r="52" spans="4:12">
      <c r="D52" s="182">
        <v>48</v>
      </c>
      <c r="E52" s="205" t="str">
        <f t="shared" si="1"/>
        <v>Slowakije</v>
      </c>
      <c r="F52" s="133" t="s">
        <v>428</v>
      </c>
      <c r="G52" s="134" t="s">
        <v>496</v>
      </c>
      <c r="H52" s="132" t="s">
        <v>497</v>
      </c>
      <c r="I52" s="135" t="s">
        <v>498</v>
      </c>
      <c r="J52" s="132" t="s">
        <v>499</v>
      </c>
      <c r="K52" s="628" t="s">
        <v>763</v>
      </c>
      <c r="L52" s="73"/>
    </row>
    <row r="53" spans="4:12">
      <c r="D53" s="182">
        <v>49</v>
      </c>
      <c r="E53" s="205" t="str">
        <f t="shared" si="1"/>
        <v>Venezuela</v>
      </c>
      <c r="F53" s="133" t="s">
        <v>420</v>
      </c>
      <c r="G53" s="134" t="s">
        <v>420</v>
      </c>
      <c r="H53" s="132" t="s">
        <v>420</v>
      </c>
      <c r="I53" s="135" t="s">
        <v>420</v>
      </c>
      <c r="J53" s="132" t="s">
        <v>420</v>
      </c>
      <c r="K53" s="628" t="s">
        <v>420</v>
      </c>
      <c r="L53" s="73"/>
    </row>
    <row r="54" spans="4:12">
      <c r="D54" s="182">
        <v>50</v>
      </c>
      <c r="E54" s="205" t="str">
        <f t="shared" si="1"/>
        <v>Oezbekistan</v>
      </c>
      <c r="F54" s="133" t="s">
        <v>442</v>
      </c>
      <c r="G54" s="134" t="s">
        <v>525</v>
      </c>
      <c r="H54" s="132" t="s">
        <v>442</v>
      </c>
      <c r="I54" s="135" t="s">
        <v>527</v>
      </c>
      <c r="J54" s="132" t="s">
        <v>528</v>
      </c>
      <c r="K54" s="628" t="s">
        <v>774</v>
      </c>
      <c r="L54" s="73"/>
    </row>
    <row r="55" spans="4:12">
      <c r="D55" s="182">
        <v>51</v>
      </c>
      <c r="E55" s="205" t="str">
        <f t="shared" si="1"/>
        <v>Costa Rica</v>
      </c>
      <c r="F55" s="133" t="s">
        <v>258</v>
      </c>
      <c r="G55" s="134" t="s">
        <v>258</v>
      </c>
      <c r="H55" s="132" t="s">
        <v>258</v>
      </c>
      <c r="I55" s="135" t="s">
        <v>258</v>
      </c>
      <c r="J55" s="132" t="s">
        <v>258</v>
      </c>
      <c r="K55" s="628" t="s">
        <v>258</v>
      </c>
      <c r="L55" s="73"/>
    </row>
    <row r="56" spans="4:12">
      <c r="D56" s="182">
        <v>52</v>
      </c>
      <c r="E56" s="205" t="str">
        <f t="shared" si="1"/>
        <v>Mali</v>
      </c>
      <c r="F56" s="133" t="s">
        <v>441</v>
      </c>
      <c r="G56" s="134" t="s">
        <v>441</v>
      </c>
      <c r="H56" s="132" t="s">
        <v>441</v>
      </c>
      <c r="I56" s="135" t="s">
        <v>441</v>
      </c>
      <c r="J56" s="132" t="s">
        <v>441</v>
      </c>
      <c r="K56" s="628" t="s">
        <v>441</v>
      </c>
      <c r="L56" s="73"/>
    </row>
    <row r="57" spans="4:12">
      <c r="D57" s="182">
        <v>53</v>
      </c>
      <c r="E57" s="205" t="str">
        <f t="shared" si="1"/>
        <v>Peru</v>
      </c>
      <c r="F57" s="133" t="s">
        <v>254</v>
      </c>
      <c r="G57" s="134" t="s">
        <v>334</v>
      </c>
      <c r="H57" s="132" t="s">
        <v>335</v>
      </c>
      <c r="I57" s="135" t="s">
        <v>336</v>
      </c>
      <c r="J57" s="132" t="s">
        <v>254</v>
      </c>
      <c r="K57" s="628" t="s">
        <v>254</v>
      </c>
      <c r="L57" s="73"/>
    </row>
    <row r="58" spans="4:12">
      <c r="D58" s="182">
        <v>54</v>
      </c>
      <c r="E58" s="205" t="str">
        <f t="shared" si="1"/>
        <v>Chili</v>
      </c>
      <c r="F58" s="133" t="s">
        <v>416</v>
      </c>
      <c r="G58" s="134" t="s">
        <v>416</v>
      </c>
      <c r="H58" s="132" t="s">
        <v>466</v>
      </c>
      <c r="I58" s="135" t="s">
        <v>465</v>
      </c>
      <c r="J58" s="132" t="s">
        <v>416</v>
      </c>
      <c r="K58" s="628" t="s">
        <v>465</v>
      </c>
      <c r="L58" s="73"/>
    </row>
    <row r="59" spans="4:12">
      <c r="D59" s="182">
        <v>55</v>
      </c>
      <c r="E59" s="205" t="str">
        <f t="shared" si="1"/>
        <v>Qatar</v>
      </c>
      <c r="F59" s="133" t="s">
        <v>426</v>
      </c>
      <c r="G59" s="134" t="s">
        <v>426</v>
      </c>
      <c r="H59" s="132" t="s">
        <v>426</v>
      </c>
      <c r="I59" s="135" t="s">
        <v>426</v>
      </c>
      <c r="J59" s="132" t="s">
        <v>476</v>
      </c>
      <c r="K59" s="628" t="s">
        <v>426</v>
      </c>
      <c r="L59" s="73"/>
    </row>
    <row r="60" spans="4:12">
      <c r="D60" s="182">
        <v>56</v>
      </c>
      <c r="E60" s="205" t="str">
        <f t="shared" si="1"/>
        <v>Roemenië</v>
      </c>
      <c r="F60" s="133" t="s">
        <v>427</v>
      </c>
      <c r="G60" s="134" t="s">
        <v>494</v>
      </c>
      <c r="H60" s="132" t="s">
        <v>427</v>
      </c>
      <c r="I60" s="135" t="s">
        <v>493</v>
      </c>
      <c r="J60" s="132" t="s">
        <v>495</v>
      </c>
      <c r="K60" s="628" t="s">
        <v>764</v>
      </c>
      <c r="L60" s="73"/>
    </row>
    <row r="61" spans="4:12">
      <c r="D61" s="182">
        <v>57</v>
      </c>
      <c r="E61" s="205" t="str">
        <f t="shared" si="1"/>
        <v>Irak</v>
      </c>
      <c r="F61" s="133" t="s">
        <v>432</v>
      </c>
      <c r="G61" s="134" t="s">
        <v>432</v>
      </c>
      <c r="H61" s="132" t="s">
        <v>432</v>
      </c>
      <c r="I61" s="135" t="s">
        <v>509</v>
      </c>
      <c r="J61" s="132" t="s">
        <v>509</v>
      </c>
      <c r="K61" s="628" t="s">
        <v>509</v>
      </c>
      <c r="L61" s="73"/>
    </row>
    <row r="62" spans="4:12">
      <c r="D62" s="182">
        <v>58</v>
      </c>
      <c r="E62" s="205" t="str">
        <f t="shared" si="1"/>
        <v>Slovenië</v>
      </c>
      <c r="F62" s="133" t="s">
        <v>433</v>
      </c>
      <c r="G62" s="134" t="s">
        <v>510</v>
      </c>
      <c r="H62" s="132" t="s">
        <v>433</v>
      </c>
      <c r="I62" s="135" t="s">
        <v>511</v>
      </c>
      <c r="J62" s="132" t="s">
        <v>512</v>
      </c>
      <c r="K62" s="628" t="s">
        <v>769</v>
      </c>
      <c r="L62" s="73"/>
    </row>
    <row r="63" spans="4:12">
      <c r="D63" s="182">
        <v>59</v>
      </c>
      <c r="E63" s="205">
        <f t="shared" si="1"/>
        <v>0</v>
      </c>
      <c r="F63" s="133"/>
      <c r="G63" s="134"/>
      <c r="H63" s="132"/>
      <c r="I63" s="135"/>
      <c r="J63" s="132" t="s">
        <v>1733</v>
      </c>
      <c r="K63" s="628"/>
      <c r="L63" s="73"/>
    </row>
    <row r="64" spans="4:12">
      <c r="D64" s="182">
        <v>60</v>
      </c>
      <c r="E64" s="205" t="str">
        <f t="shared" si="1"/>
        <v>Zuid-Afrika</v>
      </c>
      <c r="F64" s="133" t="s">
        <v>445</v>
      </c>
      <c r="G64" s="134" t="s">
        <v>536</v>
      </c>
      <c r="H64" s="132" t="s">
        <v>535</v>
      </c>
      <c r="I64" s="135" t="s">
        <v>534</v>
      </c>
      <c r="J64" s="132" t="s">
        <v>537</v>
      </c>
      <c r="K64" s="628" t="s">
        <v>771</v>
      </c>
      <c r="L64" s="73"/>
    </row>
    <row r="65" spans="4:12">
      <c r="D65" s="182">
        <v>61</v>
      </c>
      <c r="E65" s="205" t="str">
        <f t="shared" si="1"/>
        <v>Saoedi-Arabië</v>
      </c>
      <c r="F65" s="133" t="s">
        <v>1751</v>
      </c>
      <c r="G65" s="134" t="s">
        <v>1750</v>
      </c>
      <c r="H65" s="132" t="s">
        <v>1750</v>
      </c>
      <c r="I65" s="135" t="s">
        <v>1749</v>
      </c>
      <c r="J65" s="132" t="s">
        <v>1732</v>
      </c>
      <c r="K65" s="628" t="s">
        <v>1748</v>
      </c>
      <c r="L65" s="73"/>
    </row>
    <row r="66" spans="4:12">
      <c r="D66" s="182">
        <v>62</v>
      </c>
      <c r="E66" s="205" t="str">
        <f t="shared" si="1"/>
        <v>Burkina Faso</v>
      </c>
      <c r="F66" s="133" t="s">
        <v>439</v>
      </c>
      <c r="G66" s="134" t="s">
        <v>439</v>
      </c>
      <c r="H66" s="132" t="s">
        <v>439</v>
      </c>
      <c r="I66" s="135" t="s">
        <v>439</v>
      </c>
      <c r="J66" s="132" t="s">
        <v>439</v>
      </c>
      <c r="K66" s="628" t="s">
        <v>439</v>
      </c>
      <c r="L66" s="73"/>
    </row>
    <row r="67" spans="4:12">
      <c r="D67" s="182">
        <v>63</v>
      </c>
      <c r="E67" s="205" t="str">
        <f t="shared" si="1"/>
        <v>Jordanië</v>
      </c>
      <c r="F67" s="133" t="s">
        <v>1743</v>
      </c>
      <c r="G67" s="134" t="s">
        <v>1744</v>
      </c>
      <c r="H67" s="132" t="s">
        <v>1745</v>
      </c>
      <c r="I67" s="135" t="s">
        <v>1746</v>
      </c>
      <c r="J67" s="132" t="s">
        <v>1735</v>
      </c>
      <c r="K67" s="628" t="s">
        <v>1747</v>
      </c>
      <c r="L67" s="73"/>
    </row>
    <row r="68" spans="4:12">
      <c r="D68" s="182">
        <v>64</v>
      </c>
      <c r="E68" s="205" t="str">
        <f t="shared" si="1"/>
        <v>Albanië</v>
      </c>
      <c r="F68" s="133" t="s">
        <v>438</v>
      </c>
      <c r="G68" s="134" t="s">
        <v>438</v>
      </c>
      <c r="H68" s="132" t="s">
        <v>438</v>
      </c>
      <c r="I68" s="135" t="s">
        <v>518</v>
      </c>
      <c r="J68" s="132" t="s">
        <v>520</v>
      </c>
      <c r="K68" s="628" t="s">
        <v>770</v>
      </c>
      <c r="L68" s="73"/>
    </row>
    <row r="69" spans="4:12">
      <c r="D69" s="182">
        <v>65</v>
      </c>
      <c r="E69" s="205" t="str">
        <f t="shared" si="1"/>
        <v>Bosnië/Herz.</v>
      </c>
      <c r="F69" s="133" t="s">
        <v>1881</v>
      </c>
      <c r="G69" s="134" t="s">
        <v>1881</v>
      </c>
      <c r="H69" s="132" t="s">
        <v>1882</v>
      </c>
      <c r="I69" s="135" t="s">
        <v>1883</v>
      </c>
      <c r="J69" s="132" t="s">
        <v>1884</v>
      </c>
      <c r="K69" s="628" t="s">
        <v>1943</v>
      </c>
      <c r="L69" s="73"/>
    </row>
    <row r="70" spans="4:12">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c r="D71" s="182">
        <v>67</v>
      </c>
      <c r="E71" s="205">
        <f t="shared" si="2"/>
        <v>0</v>
      </c>
      <c r="F71" s="133"/>
      <c r="G71" s="134"/>
      <c r="H71" s="132"/>
      <c r="I71" s="135"/>
      <c r="J71" s="132" t="s">
        <v>909</v>
      </c>
      <c r="K71" s="628"/>
      <c r="L71" s="73"/>
    </row>
    <row r="72" spans="4:12">
      <c r="D72" s="182">
        <v>68</v>
      </c>
      <c r="E72" s="205">
        <f t="shared" si="2"/>
        <v>0</v>
      </c>
      <c r="F72" s="133"/>
      <c r="G72" s="134"/>
      <c r="H72" s="132"/>
      <c r="I72" s="135"/>
      <c r="J72" s="132" t="s">
        <v>1736</v>
      </c>
      <c r="K72" s="628"/>
      <c r="L72" s="73"/>
    </row>
    <row r="73" spans="4:12">
      <c r="D73" s="182">
        <v>69</v>
      </c>
      <c r="E73" s="205" t="str">
        <f t="shared" si="2"/>
        <v>Kaapverdië</v>
      </c>
      <c r="F73" s="133" t="s">
        <v>1752</v>
      </c>
      <c r="G73" s="134" t="s">
        <v>1753</v>
      </c>
      <c r="H73" s="132" t="s">
        <v>1754</v>
      </c>
      <c r="I73" s="135" t="s">
        <v>1755</v>
      </c>
      <c r="J73" s="132" t="s">
        <v>910</v>
      </c>
      <c r="K73" s="628" t="s">
        <v>1756</v>
      </c>
      <c r="L73" s="73"/>
    </row>
    <row r="74" spans="4:12">
      <c r="D74" s="182">
        <v>70</v>
      </c>
      <c r="E74" s="205" t="str">
        <f t="shared" si="2"/>
        <v>Noord-Ierland</v>
      </c>
      <c r="F74" s="133" t="s">
        <v>434</v>
      </c>
      <c r="G74" s="134" t="s">
        <v>516</v>
      </c>
      <c r="H74" s="132" t="s">
        <v>515</v>
      </c>
      <c r="I74" s="135" t="s">
        <v>514</v>
      </c>
      <c r="J74" s="132" t="s">
        <v>513</v>
      </c>
      <c r="K74" s="628" t="s">
        <v>766</v>
      </c>
      <c r="L74" s="73"/>
    </row>
    <row r="75" spans="4:12">
      <c r="D75" s="182">
        <v>71</v>
      </c>
      <c r="E75" s="205" t="str">
        <f t="shared" si="2"/>
        <v>Jamaica</v>
      </c>
      <c r="F75" s="133" t="s">
        <v>444</v>
      </c>
      <c r="G75" s="134" t="s">
        <v>444</v>
      </c>
      <c r="H75" s="132" t="s">
        <v>531</v>
      </c>
      <c r="I75" s="135" t="s">
        <v>532</v>
      </c>
      <c r="J75" s="132" t="s">
        <v>533</v>
      </c>
      <c r="K75" s="628" t="s">
        <v>444</v>
      </c>
      <c r="L75" s="73"/>
    </row>
    <row r="76" spans="4:12">
      <c r="D76" s="182">
        <v>72</v>
      </c>
      <c r="E76" s="205" t="str">
        <f t="shared" si="2"/>
        <v>Georgië</v>
      </c>
      <c r="F76" s="133" t="s">
        <v>448</v>
      </c>
      <c r="G76" s="134" t="s">
        <v>448</v>
      </c>
      <c r="H76" s="132" t="s">
        <v>448</v>
      </c>
      <c r="I76" s="135" t="s">
        <v>539</v>
      </c>
      <c r="J76" s="132" t="s">
        <v>540</v>
      </c>
      <c r="K76" s="628" t="s">
        <v>775</v>
      </c>
      <c r="L76" s="73"/>
    </row>
    <row r="77" spans="4:12">
      <c r="D77" s="182">
        <v>73</v>
      </c>
      <c r="E77" s="205" t="str">
        <f t="shared" si="2"/>
        <v>Finland</v>
      </c>
      <c r="F77" s="133" t="s">
        <v>424</v>
      </c>
      <c r="G77" s="134" t="s">
        <v>489</v>
      </c>
      <c r="H77" s="132" t="s">
        <v>489</v>
      </c>
      <c r="I77" s="135" t="s">
        <v>487</v>
      </c>
      <c r="J77" s="132" t="s">
        <v>908</v>
      </c>
      <c r="K77" s="628" t="s">
        <v>424</v>
      </c>
      <c r="L77" s="73"/>
    </row>
    <row r="78" spans="4:12">
      <c r="D78" s="182">
        <v>74</v>
      </c>
      <c r="E78" s="205" t="str">
        <f t="shared" si="2"/>
        <v>Ghana</v>
      </c>
      <c r="F78" s="133" t="s">
        <v>436</v>
      </c>
      <c r="G78" s="134" t="s">
        <v>436</v>
      </c>
      <c r="H78" s="132" t="s">
        <v>436</v>
      </c>
      <c r="I78" s="135" t="s">
        <v>436</v>
      </c>
      <c r="J78" s="132" t="s">
        <v>436</v>
      </c>
      <c r="K78" s="628" t="s">
        <v>436</v>
      </c>
      <c r="L78" s="73"/>
    </row>
    <row r="79" spans="4:12">
      <c r="D79" s="182">
        <v>75</v>
      </c>
      <c r="E79" s="205" t="str">
        <f t="shared" si="2"/>
        <v>IJsland</v>
      </c>
      <c r="F79" s="133" t="s">
        <v>338</v>
      </c>
      <c r="G79" s="134" t="s">
        <v>339</v>
      </c>
      <c r="H79" s="132" t="s">
        <v>340</v>
      </c>
      <c r="I79" s="135" t="s">
        <v>341</v>
      </c>
      <c r="J79" s="132" t="s">
        <v>256</v>
      </c>
      <c r="K79" s="628" t="s">
        <v>768</v>
      </c>
      <c r="L79" s="73"/>
    </row>
    <row r="80" spans="4:12">
      <c r="D80" s="182">
        <v>76</v>
      </c>
      <c r="E80" s="205" t="str">
        <f t="shared" si="2"/>
        <v>Bolivië</v>
      </c>
      <c r="F80" s="133" t="s">
        <v>435</v>
      </c>
      <c r="G80" s="134" t="s">
        <v>435</v>
      </c>
      <c r="H80" s="132" t="s">
        <v>435</v>
      </c>
      <c r="I80" s="135" t="s">
        <v>517</v>
      </c>
      <c r="J80" s="132" t="s">
        <v>519</v>
      </c>
      <c r="K80" s="628" t="s">
        <v>773</v>
      </c>
      <c r="L80" s="73"/>
    </row>
    <row r="81" spans="4:12">
      <c r="D81" s="182">
        <v>77</v>
      </c>
      <c r="E81" s="205" t="str">
        <f t="shared" si="2"/>
        <v>Israël</v>
      </c>
      <c r="F81" s="133" t="s">
        <v>430</v>
      </c>
      <c r="G81" s="134" t="s">
        <v>430</v>
      </c>
      <c r="H81" s="132" t="s">
        <v>488</v>
      </c>
      <c r="I81" s="135" t="s">
        <v>504</v>
      </c>
      <c r="J81" s="132" t="s">
        <v>430</v>
      </c>
      <c r="K81" s="628" t="s">
        <v>504</v>
      </c>
      <c r="L81" s="73"/>
    </row>
    <row r="82" spans="4:12">
      <c r="D82" s="182">
        <v>78</v>
      </c>
      <c r="E82" s="205">
        <f t="shared" si="2"/>
        <v>0</v>
      </c>
      <c r="F82" s="133"/>
      <c r="G82" s="134"/>
      <c r="H82" s="132"/>
      <c r="I82" s="135"/>
      <c r="J82" s="132" t="s">
        <v>1861</v>
      </c>
      <c r="K82" s="628"/>
      <c r="L82" s="73"/>
    </row>
    <row r="83" spans="4:12">
      <c r="D83" s="182">
        <v>79</v>
      </c>
      <c r="E83" s="205" t="str">
        <f t="shared" si="2"/>
        <v>Oman</v>
      </c>
      <c r="F83" s="133" t="s">
        <v>446</v>
      </c>
      <c r="G83" s="134" t="s">
        <v>526</v>
      </c>
      <c r="H83" s="132" t="s">
        <v>446</v>
      </c>
      <c r="I83" s="135" t="s">
        <v>446</v>
      </c>
      <c r="J83" s="132" t="s">
        <v>446</v>
      </c>
      <c r="K83" s="628" t="s">
        <v>446</v>
      </c>
      <c r="L83" s="73"/>
    </row>
    <row r="84" spans="4:12">
      <c r="D84" s="182">
        <v>80</v>
      </c>
      <c r="E84" s="205">
        <f t="shared" si="2"/>
        <v>0</v>
      </c>
      <c r="F84" s="133"/>
      <c r="G84" s="134"/>
      <c r="H84" s="132"/>
      <c r="I84" s="135"/>
      <c r="J84" s="132" t="s">
        <v>1862</v>
      </c>
      <c r="K84" s="628"/>
      <c r="L84" s="73"/>
    </row>
    <row r="85" spans="4:12">
      <c r="D85" s="182">
        <v>81</v>
      </c>
      <c r="E85" s="205" t="str">
        <f t="shared" si="2"/>
        <v>Montenegro</v>
      </c>
      <c r="F85" s="133" t="s">
        <v>447</v>
      </c>
      <c r="G85" s="134" t="s">
        <v>447</v>
      </c>
      <c r="H85" s="132" t="s">
        <v>447</v>
      </c>
      <c r="I85" s="135" t="s">
        <v>538</v>
      </c>
      <c r="J85" s="132" t="s">
        <v>447</v>
      </c>
      <c r="K85" s="628" t="s">
        <v>447</v>
      </c>
      <c r="L85" s="73"/>
    </row>
    <row r="86" spans="4:12">
      <c r="D86" s="182">
        <v>82</v>
      </c>
      <c r="E86" s="205" t="str">
        <f t="shared" si="2"/>
        <v>Curacao</v>
      </c>
      <c r="F86" s="133" t="s">
        <v>1737</v>
      </c>
      <c r="G86" s="134" t="s">
        <v>1758</v>
      </c>
      <c r="H86" s="132" t="s">
        <v>1737</v>
      </c>
      <c r="I86" s="135" t="s">
        <v>1737</v>
      </c>
      <c r="J86" s="132" t="s">
        <v>1737</v>
      </c>
      <c r="K86" s="628" t="s">
        <v>1757</v>
      </c>
      <c r="L86" s="73"/>
    </row>
    <row r="87" spans="4:12">
      <c r="D87" s="182">
        <v>83</v>
      </c>
      <c r="E87" s="205" t="str">
        <f t="shared" si="2"/>
        <v>Haïti</v>
      </c>
      <c r="F87" s="133" t="s">
        <v>1738</v>
      </c>
      <c r="G87" s="134" t="s">
        <v>1738</v>
      </c>
      <c r="H87" s="132" t="s">
        <v>1738</v>
      </c>
      <c r="I87" s="135" t="s">
        <v>1759</v>
      </c>
      <c r="J87" s="132" t="s">
        <v>1738</v>
      </c>
      <c r="K87" s="628" t="s">
        <v>1759</v>
      </c>
      <c r="L87" s="73"/>
    </row>
    <row r="88" spans="4:12">
      <c r="D88" s="182">
        <v>84</v>
      </c>
      <c r="E88" s="205">
        <f t="shared" si="2"/>
        <v>0</v>
      </c>
      <c r="F88" s="209"/>
      <c r="G88" s="131"/>
      <c r="H88" s="210"/>
      <c r="I88" s="211"/>
      <c r="J88" s="210" t="s">
        <v>1863</v>
      </c>
      <c r="K88" s="628"/>
      <c r="L88" s="212"/>
    </row>
    <row r="89" spans="4:12">
      <c r="D89" s="182">
        <v>85</v>
      </c>
      <c r="E89" s="205" t="str">
        <f t="shared" si="2"/>
        <v>Nieuw-Zeeland</v>
      </c>
      <c r="F89" s="209" t="s">
        <v>1760</v>
      </c>
      <c r="G89" s="131" t="s">
        <v>1763</v>
      </c>
      <c r="H89" s="210" t="s">
        <v>1762</v>
      </c>
      <c r="I89" s="211" t="s">
        <v>1764</v>
      </c>
      <c r="J89" s="210" t="s">
        <v>541</v>
      </c>
      <c r="K89" s="628" t="s">
        <v>1761</v>
      </c>
      <c r="L89" s="212"/>
    </row>
    <row r="90" spans="4:12">
      <c r="D90" s="182">
        <v>86</v>
      </c>
      <c r="E90" s="205" t="str">
        <f t="shared" si="2"/>
        <v>Bulgarije</v>
      </c>
      <c r="F90" s="209" t="s">
        <v>443</v>
      </c>
      <c r="G90" s="131" t="s">
        <v>443</v>
      </c>
      <c r="H90" s="210" t="s">
        <v>443</v>
      </c>
      <c r="I90" s="211" t="s">
        <v>529</v>
      </c>
      <c r="J90" s="210" t="s">
        <v>530</v>
      </c>
      <c r="K90" s="628" t="s">
        <v>772</v>
      </c>
      <c r="L90" s="212"/>
    </row>
    <row r="91" spans="4:12">
      <c r="D91" s="182">
        <v>87</v>
      </c>
      <c r="E91" s="205">
        <f t="shared" si="2"/>
        <v>0</v>
      </c>
      <c r="F91" s="209"/>
      <c r="G91" s="131"/>
      <c r="H91" s="210"/>
      <c r="I91" s="211"/>
      <c r="J91" s="210" t="s">
        <v>911</v>
      </c>
      <c r="K91" s="628"/>
      <c r="L91" s="212"/>
    </row>
    <row r="92" spans="4:12">
      <c r="D92" s="182">
        <v>88</v>
      </c>
      <c r="E92" s="205">
        <f t="shared" si="2"/>
        <v>0</v>
      </c>
      <c r="F92" s="209"/>
      <c r="G92" s="131"/>
      <c r="H92" s="210"/>
      <c r="I92" s="211"/>
      <c r="J92" s="210" t="s">
        <v>1864</v>
      </c>
      <c r="K92" s="628"/>
      <c r="L92" s="212"/>
    </row>
    <row r="93" spans="4:12">
      <c r="D93" s="182">
        <v>89</v>
      </c>
      <c r="E93" s="205">
        <f t="shared" si="2"/>
        <v>0</v>
      </c>
      <c r="F93" s="209"/>
      <c r="G93" s="131"/>
      <c r="H93" s="210"/>
      <c r="I93" s="211"/>
      <c r="J93" s="210" t="s">
        <v>1865</v>
      </c>
      <c r="K93" s="628"/>
      <c r="L93" s="212"/>
    </row>
    <row r="94" spans="4:12">
      <c r="D94" s="182">
        <v>90</v>
      </c>
      <c r="E94" s="205">
        <f t="shared" si="2"/>
        <v>0</v>
      </c>
      <c r="F94" s="209"/>
      <c r="G94" s="131"/>
      <c r="H94" s="210"/>
      <c r="I94" s="211"/>
      <c r="J94" s="886" t="s">
        <v>1880</v>
      </c>
      <c r="K94" s="887"/>
      <c r="L94" s="212"/>
    </row>
    <row r="95" spans="4:12">
      <c r="D95" s="182">
        <v>91</v>
      </c>
      <c r="E95" s="205" t="str">
        <f t="shared" si="2"/>
        <v>Play-Off 1</v>
      </c>
      <c r="F95" s="209" t="s">
        <v>1866</v>
      </c>
      <c r="G95" s="131" t="s">
        <v>1866</v>
      </c>
      <c r="H95" s="210" t="s">
        <v>1866</v>
      </c>
      <c r="I95" s="211" t="s">
        <v>1866</v>
      </c>
      <c r="J95" s="886" t="s">
        <v>1866</v>
      </c>
      <c r="K95" s="887" t="s">
        <v>1866</v>
      </c>
      <c r="L95" s="212"/>
    </row>
    <row r="96" spans="4:12">
      <c r="D96" s="182">
        <v>92</v>
      </c>
      <c r="E96" s="205" t="str">
        <f t="shared" si="2"/>
        <v>Play-Off 2</v>
      </c>
      <c r="F96" s="209" t="s">
        <v>1867</v>
      </c>
      <c r="G96" s="131" t="s">
        <v>1867</v>
      </c>
      <c r="H96" s="210" t="s">
        <v>1867</v>
      </c>
      <c r="I96" s="211" t="s">
        <v>1867</v>
      </c>
      <c r="J96" s="886" t="s">
        <v>1867</v>
      </c>
      <c r="K96" s="887" t="s">
        <v>1867</v>
      </c>
      <c r="L96" s="212"/>
    </row>
    <row r="97" spans="4:15">
      <c r="D97" s="182">
        <v>93</v>
      </c>
      <c r="E97" s="205" t="str">
        <f t="shared" si="2"/>
        <v>Play-Off A</v>
      </c>
      <c r="F97" s="209" t="s">
        <v>1868</v>
      </c>
      <c r="G97" s="131" t="s">
        <v>1868</v>
      </c>
      <c r="H97" s="210" t="s">
        <v>1868</v>
      </c>
      <c r="I97" s="211" t="s">
        <v>1868</v>
      </c>
      <c r="J97" s="886" t="s">
        <v>1868</v>
      </c>
      <c r="K97" s="887" t="s">
        <v>1868</v>
      </c>
      <c r="L97" s="212"/>
    </row>
    <row r="98" spans="4:15">
      <c r="D98" s="182">
        <v>94</v>
      </c>
      <c r="E98" s="205" t="str">
        <f t="shared" si="2"/>
        <v>Play-Off B</v>
      </c>
      <c r="F98" s="209" t="s">
        <v>1869</v>
      </c>
      <c r="G98" s="131" t="s">
        <v>1869</v>
      </c>
      <c r="H98" s="210" t="s">
        <v>1869</v>
      </c>
      <c r="I98" s="211" t="s">
        <v>1869</v>
      </c>
      <c r="J98" s="886" t="s">
        <v>1869</v>
      </c>
      <c r="K98" s="887" t="s">
        <v>1869</v>
      </c>
      <c r="L98" s="212"/>
    </row>
    <row r="99" spans="4:15">
      <c r="D99" s="182">
        <v>95</v>
      </c>
      <c r="E99" s="205" t="str">
        <f t="shared" si="2"/>
        <v>Play-Off C</v>
      </c>
      <c r="F99" s="209" t="s">
        <v>1870</v>
      </c>
      <c r="G99" s="131" t="s">
        <v>1870</v>
      </c>
      <c r="H99" s="210" t="s">
        <v>1870</v>
      </c>
      <c r="I99" s="211" t="s">
        <v>1870</v>
      </c>
      <c r="J99" s="886" t="s">
        <v>1870</v>
      </c>
      <c r="K99" s="887" t="s">
        <v>1870</v>
      </c>
      <c r="L99" s="212"/>
    </row>
    <row r="100" spans="4:15" ht="15.75" thickBot="1">
      <c r="D100" s="208">
        <v>96</v>
      </c>
      <c r="E100" s="205" t="str">
        <f t="shared" si="2"/>
        <v>Play-Off D</v>
      </c>
      <c r="F100" s="136" t="s">
        <v>1871</v>
      </c>
      <c r="G100" s="137" t="s">
        <v>1871</v>
      </c>
      <c r="H100" s="138" t="s">
        <v>1871</v>
      </c>
      <c r="I100" s="139" t="s">
        <v>1871</v>
      </c>
      <c r="J100" s="367" t="s">
        <v>1871</v>
      </c>
      <c r="K100" s="629" t="s">
        <v>1871</v>
      </c>
      <c r="L100" s="74"/>
    </row>
    <row r="101" spans="4:15" ht="16.5" thickTop="1" thickBot="1">
      <c r="E101" s="205"/>
      <c r="F101" s="75"/>
      <c r="G101" s="75"/>
      <c r="H101" s="75"/>
      <c r="I101" s="75"/>
      <c r="J101" s="75"/>
      <c r="K101" s="630"/>
      <c r="L101" s="75"/>
    </row>
    <row r="102" spans="4:15" ht="30.75" thickTop="1">
      <c r="D102" s="181" t="s">
        <v>391</v>
      </c>
      <c r="E102" s="206"/>
      <c r="F102" s="189" t="s">
        <v>111</v>
      </c>
      <c r="G102" s="190"/>
      <c r="H102" s="190"/>
      <c r="I102" s="190"/>
      <c r="J102" s="190"/>
      <c r="K102" s="631"/>
      <c r="L102" s="191"/>
    </row>
    <row r="103" spans="4:1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c r="D104" s="128">
        <v>2</v>
      </c>
      <c r="E104" s="205" t="str">
        <f t="shared" si="3"/>
        <v>Toronto</v>
      </c>
      <c r="F104" s="133" t="s">
        <v>913</v>
      </c>
      <c r="G104" s="134" t="s">
        <v>913</v>
      </c>
      <c r="H104" s="132" t="s">
        <v>913</v>
      </c>
      <c r="I104" s="135" t="s">
        <v>913</v>
      </c>
      <c r="J104" s="132" t="s">
        <v>913</v>
      </c>
      <c r="K104" s="628" t="s">
        <v>913</v>
      </c>
      <c r="L104" s="73"/>
      <c r="O104" s="584"/>
    </row>
    <row r="105" spans="4:15">
      <c r="D105" s="128">
        <v>3</v>
      </c>
      <c r="E105" s="205" t="str">
        <f t="shared" si="3"/>
        <v>New York/New Jersey</v>
      </c>
      <c r="F105" s="133" t="s">
        <v>1008</v>
      </c>
      <c r="G105" s="134" t="s">
        <v>1008</v>
      </c>
      <c r="H105" s="132" t="s">
        <v>1008</v>
      </c>
      <c r="I105" s="135" t="s">
        <v>1008</v>
      </c>
      <c r="J105" s="132" t="s">
        <v>1008</v>
      </c>
      <c r="K105" s="628" t="s">
        <v>1008</v>
      </c>
      <c r="L105" s="73"/>
      <c r="O105" s="584"/>
    </row>
    <row r="106" spans="4:15">
      <c r="D106" s="128">
        <v>4</v>
      </c>
      <c r="E106" s="205" t="str">
        <f t="shared" si="3"/>
        <v>Kansas City</v>
      </c>
      <c r="F106" s="133" t="s">
        <v>914</v>
      </c>
      <c r="G106" s="134" t="s">
        <v>914</v>
      </c>
      <c r="H106" s="132" t="s">
        <v>914</v>
      </c>
      <c r="I106" s="135" t="s">
        <v>914</v>
      </c>
      <c r="J106" s="132" t="s">
        <v>914</v>
      </c>
      <c r="K106" s="628" t="s">
        <v>914</v>
      </c>
      <c r="L106" s="73"/>
      <c r="O106" s="584"/>
    </row>
    <row r="107" spans="4:15">
      <c r="D107" s="128">
        <v>5</v>
      </c>
      <c r="E107" s="205" t="str">
        <f t="shared" si="3"/>
        <v>Dallas</v>
      </c>
      <c r="F107" s="133" t="s">
        <v>1012</v>
      </c>
      <c r="G107" s="134" t="s">
        <v>1012</v>
      </c>
      <c r="H107" s="132" t="s">
        <v>1012</v>
      </c>
      <c r="I107" s="135" t="s">
        <v>1012</v>
      </c>
      <c r="J107" s="132" t="s">
        <v>1012</v>
      </c>
      <c r="K107" s="628" t="s">
        <v>1012</v>
      </c>
      <c r="L107" s="73"/>
      <c r="O107" s="584"/>
    </row>
    <row r="108" spans="4:15">
      <c r="D108" s="128">
        <v>6</v>
      </c>
      <c r="E108" s="205" t="str">
        <f t="shared" si="3"/>
        <v>Houston</v>
      </c>
      <c r="F108" s="133" t="s">
        <v>915</v>
      </c>
      <c r="G108" s="134" t="s">
        <v>915</v>
      </c>
      <c r="H108" s="132" t="s">
        <v>915</v>
      </c>
      <c r="I108" s="135" t="s">
        <v>915</v>
      </c>
      <c r="J108" s="132" t="s">
        <v>915</v>
      </c>
      <c r="K108" s="628" t="s">
        <v>915</v>
      </c>
      <c r="L108" s="73"/>
      <c r="O108" s="584"/>
    </row>
    <row r="109" spans="4:15">
      <c r="D109" s="128">
        <v>7</v>
      </c>
      <c r="E109" s="205" t="str">
        <f t="shared" si="3"/>
        <v>Atlanta</v>
      </c>
      <c r="F109" s="133" t="s">
        <v>916</v>
      </c>
      <c r="G109" s="134" t="s">
        <v>916</v>
      </c>
      <c r="H109" s="132" t="s">
        <v>916</v>
      </c>
      <c r="I109" s="135" t="s">
        <v>916</v>
      </c>
      <c r="J109" s="132" t="s">
        <v>916</v>
      </c>
      <c r="K109" s="628" t="s">
        <v>916</v>
      </c>
      <c r="L109" s="73"/>
      <c r="O109" s="584"/>
    </row>
    <row r="110" spans="4:15">
      <c r="D110" s="128">
        <v>8</v>
      </c>
      <c r="E110" s="205" t="str">
        <f t="shared" si="3"/>
        <v>Los Angeles</v>
      </c>
      <c r="F110" s="133" t="s">
        <v>917</v>
      </c>
      <c r="G110" s="134" t="s">
        <v>917</v>
      </c>
      <c r="H110" s="132" t="s">
        <v>917</v>
      </c>
      <c r="I110" s="135" t="s">
        <v>917</v>
      </c>
      <c r="J110" s="132" t="s">
        <v>917</v>
      </c>
      <c r="K110" s="628" t="s">
        <v>917</v>
      </c>
      <c r="L110" s="73"/>
      <c r="O110" s="584"/>
    </row>
    <row r="111" spans="4:15">
      <c r="D111" s="128">
        <v>9</v>
      </c>
      <c r="E111" s="205" t="str">
        <f t="shared" si="3"/>
        <v>Philadelphia</v>
      </c>
      <c r="F111" s="133" t="s">
        <v>918</v>
      </c>
      <c r="G111" s="134" t="s">
        <v>918</v>
      </c>
      <c r="H111" s="132" t="s">
        <v>918</v>
      </c>
      <c r="I111" s="135" t="s">
        <v>918</v>
      </c>
      <c r="J111" s="132" t="s">
        <v>918</v>
      </c>
      <c r="K111" s="628" t="s">
        <v>918</v>
      </c>
      <c r="L111" s="73"/>
      <c r="O111" s="584"/>
    </row>
    <row r="112" spans="4:15">
      <c r="D112" s="128">
        <v>10</v>
      </c>
      <c r="E112" s="205" t="str">
        <f t="shared" si="3"/>
        <v>Seattle</v>
      </c>
      <c r="F112" s="133" t="s">
        <v>919</v>
      </c>
      <c r="G112" s="134" t="s">
        <v>919</v>
      </c>
      <c r="H112" s="132" t="s">
        <v>919</v>
      </c>
      <c r="I112" s="135" t="s">
        <v>919</v>
      </c>
      <c r="J112" s="132" t="s">
        <v>919</v>
      </c>
      <c r="K112" s="628" t="s">
        <v>919</v>
      </c>
      <c r="L112" s="73"/>
      <c r="O112" s="584"/>
    </row>
    <row r="113" spans="4:15">
      <c r="D113" s="128">
        <v>11</v>
      </c>
      <c r="E113" s="205" t="str">
        <f t="shared" si="3"/>
        <v>San Francisco Bay Area</v>
      </c>
      <c r="F113" s="133" t="s">
        <v>1009</v>
      </c>
      <c r="G113" s="134" t="s">
        <v>1009</v>
      </c>
      <c r="H113" s="132" t="s">
        <v>1009</v>
      </c>
      <c r="I113" s="135" t="s">
        <v>1009</v>
      </c>
      <c r="J113" s="132" t="s">
        <v>1009</v>
      </c>
      <c r="K113" s="628" t="s">
        <v>1009</v>
      </c>
      <c r="L113" s="73"/>
      <c r="O113" s="584"/>
    </row>
    <row r="114" spans="4:15">
      <c r="D114" s="128">
        <v>12</v>
      </c>
      <c r="E114" s="205" t="str">
        <f t="shared" si="3"/>
        <v>Boston</v>
      </c>
      <c r="F114" s="133" t="s">
        <v>920</v>
      </c>
      <c r="G114" s="134" t="s">
        <v>920</v>
      </c>
      <c r="H114" s="132" t="s">
        <v>920</v>
      </c>
      <c r="I114" s="135" t="s">
        <v>920</v>
      </c>
      <c r="J114" s="132" t="s">
        <v>920</v>
      </c>
      <c r="K114" s="628" t="s">
        <v>920</v>
      </c>
      <c r="L114" s="73"/>
      <c r="O114" s="584"/>
    </row>
    <row r="115" spans="4:15">
      <c r="D115" s="128">
        <v>13</v>
      </c>
      <c r="E115" s="205" t="str">
        <f t="shared" si="3"/>
        <v>Miami</v>
      </c>
      <c r="F115" s="133" t="s">
        <v>921</v>
      </c>
      <c r="G115" s="134" t="s">
        <v>921</v>
      </c>
      <c r="H115" s="132" t="s">
        <v>921</v>
      </c>
      <c r="I115" s="135" t="s">
        <v>921</v>
      </c>
      <c r="J115" s="132" t="s">
        <v>921</v>
      </c>
      <c r="K115" s="628" t="s">
        <v>921</v>
      </c>
      <c r="L115" s="73"/>
      <c r="O115" s="584"/>
    </row>
    <row r="116" spans="4:15">
      <c r="D116" s="128">
        <v>14</v>
      </c>
      <c r="E116" s="205" t="str">
        <f t="shared" si="3"/>
        <v>Mexico City</v>
      </c>
      <c r="F116" s="133" t="s">
        <v>922</v>
      </c>
      <c r="G116" s="134" t="s">
        <v>922</v>
      </c>
      <c r="H116" s="132" t="s">
        <v>922</v>
      </c>
      <c r="I116" s="135" t="s">
        <v>922</v>
      </c>
      <c r="J116" s="132" t="s">
        <v>922</v>
      </c>
      <c r="K116" s="628" t="s">
        <v>922</v>
      </c>
      <c r="L116" s="73"/>
      <c r="O116" s="584"/>
    </row>
    <row r="117" spans="4:1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c r="D119" s="30"/>
      <c r="E119" s="205"/>
      <c r="F119" s="192"/>
      <c r="G119" s="192"/>
      <c r="H119" s="192"/>
      <c r="I119" s="192"/>
      <c r="J119" s="192"/>
      <c r="K119" s="632"/>
      <c r="L119" s="192"/>
    </row>
    <row r="120" spans="4:15" ht="29.25" thickTop="1">
      <c r="E120" s="25"/>
      <c r="F120" s="76" t="s">
        <v>278</v>
      </c>
      <c r="G120" s="77"/>
      <c r="H120" s="77"/>
      <c r="I120" s="77"/>
      <c r="J120" s="77"/>
      <c r="K120" s="633"/>
      <c r="L120" s="78"/>
    </row>
    <row r="121" spans="4:15" ht="61.5" customHeight="1">
      <c r="E121" s="205" t="str">
        <f t="shared" ref="E121:E213" si="4">IF($C$3,F121,IF($C$4,G121,IF($C$5,H121,IF($C$6,I121,IF($C$7,J121,IF($C$8,K121,IF(L121&lt;&gt;"",L121,F121)))))))</f>
        <v>WK voetbal 2026 - Canada/Mexico/VS</v>
      </c>
      <c r="F121" s="288" t="s">
        <v>956</v>
      </c>
      <c r="G121" s="289" t="s">
        <v>958</v>
      </c>
      <c r="H121" s="290" t="s">
        <v>957</v>
      </c>
      <c r="I121" s="291" t="s">
        <v>955</v>
      </c>
      <c r="J121" s="290" t="s">
        <v>889</v>
      </c>
      <c r="K121" s="634" t="s">
        <v>959</v>
      </c>
      <c r="L121" s="292"/>
    </row>
    <row r="122" spans="4:15" ht="30">
      <c r="E122" s="205" t="str">
        <f t="shared" si="4"/>
        <v>Onderscheidend vergelijk</v>
      </c>
      <c r="F122" s="447" t="s">
        <v>287</v>
      </c>
      <c r="G122" s="448" t="s">
        <v>301</v>
      </c>
      <c r="H122" s="449" t="s">
        <v>302</v>
      </c>
      <c r="I122" s="450" t="s">
        <v>300</v>
      </c>
      <c r="J122" s="449" t="s">
        <v>299</v>
      </c>
      <c r="K122" s="634" t="s">
        <v>776</v>
      </c>
      <c r="L122" s="451"/>
    </row>
    <row r="123" spans="4:15">
      <c r="E123" s="205" t="str">
        <f t="shared" si="4"/>
        <v>Fair-Play</v>
      </c>
      <c r="F123" s="288" t="s">
        <v>30</v>
      </c>
      <c r="G123" s="289" t="s">
        <v>1741</v>
      </c>
      <c r="H123" s="290" t="s">
        <v>30</v>
      </c>
      <c r="I123" s="291" t="s">
        <v>1741</v>
      </c>
      <c r="J123" s="290" t="s">
        <v>1742</v>
      </c>
      <c r="K123" s="634" t="s">
        <v>1742</v>
      </c>
      <c r="L123" s="292"/>
    </row>
    <row r="124" spans="4:15">
      <c r="E124" s="205" t="str">
        <f t="shared" si="4"/>
        <v>Kies tijdzone</v>
      </c>
      <c r="F124" s="447" t="s">
        <v>369</v>
      </c>
      <c r="G124" s="448" t="s">
        <v>377</v>
      </c>
      <c r="H124" s="449" t="s">
        <v>376</v>
      </c>
      <c r="I124" s="450" t="s">
        <v>375</v>
      </c>
      <c r="J124" s="449" t="s">
        <v>370</v>
      </c>
      <c r="K124" s="634" t="s">
        <v>777</v>
      </c>
      <c r="L124" s="451"/>
    </row>
    <row r="125" spans="4:15">
      <c r="E125" s="205" t="str">
        <f t="shared" si="4"/>
        <v>Wedstrijden</v>
      </c>
      <c r="F125" s="447" t="s">
        <v>249</v>
      </c>
      <c r="G125" s="448" t="s">
        <v>378</v>
      </c>
      <c r="H125" s="449" t="s">
        <v>379</v>
      </c>
      <c r="I125" s="450" t="s">
        <v>374</v>
      </c>
      <c r="J125" s="449" t="s">
        <v>371</v>
      </c>
      <c r="K125" s="634" t="s">
        <v>778</v>
      </c>
      <c r="L125" s="451"/>
    </row>
    <row r="126" spans="4:15">
      <c r="E126" s="205" t="str">
        <f t="shared" si="4"/>
        <v>Kies taal</v>
      </c>
      <c r="F126" s="447" t="s">
        <v>112</v>
      </c>
      <c r="G126" s="448" t="s">
        <v>381</v>
      </c>
      <c r="H126" s="449" t="s">
        <v>380</v>
      </c>
      <c r="I126" s="450" t="s">
        <v>372</v>
      </c>
      <c r="J126" s="449" t="s">
        <v>373</v>
      </c>
      <c r="K126" s="634" t="s">
        <v>779</v>
      </c>
      <c r="L126" s="451"/>
    </row>
    <row r="127" spans="4:15" ht="30">
      <c r="E127" s="205" t="str">
        <f t="shared" si="4"/>
        <v xml:space="preserve">Voorspellingsklassificatie </v>
      </c>
      <c r="F127" s="447" t="s">
        <v>639</v>
      </c>
      <c r="G127" s="448" t="s">
        <v>641</v>
      </c>
      <c r="H127" s="449" t="s">
        <v>642</v>
      </c>
      <c r="I127" s="450" t="s">
        <v>643</v>
      </c>
      <c r="J127" s="449" t="s">
        <v>640</v>
      </c>
      <c r="K127" s="634" t="s">
        <v>780</v>
      </c>
      <c r="L127" s="451"/>
    </row>
    <row r="128" spans="4:15" ht="60">
      <c r="E128" s="205" t="str">
        <f t="shared" si="4"/>
        <v>Toewijzing van beste derde plaatsen naar de ronde van 32</v>
      </c>
      <c r="F128" s="288" t="s">
        <v>1106</v>
      </c>
      <c r="G128" s="289" t="s">
        <v>1105</v>
      </c>
      <c r="H128" s="290" t="s">
        <v>1104</v>
      </c>
      <c r="I128" s="291" t="s">
        <v>1103</v>
      </c>
      <c r="J128" s="290" t="s">
        <v>1101</v>
      </c>
      <c r="K128" s="634" t="s">
        <v>1102</v>
      </c>
      <c r="L128" s="292"/>
    </row>
    <row r="129" spans="4:15" ht="28.5">
      <c r="E129" s="25"/>
      <c r="F129" s="79" t="s">
        <v>151</v>
      </c>
      <c r="G129" s="80"/>
      <c r="H129" s="80"/>
      <c r="I129" s="80"/>
      <c r="J129" s="80"/>
      <c r="K129" s="625"/>
      <c r="L129" s="81"/>
      <c r="M129" s="50"/>
    </row>
    <row r="130" spans="4:15" ht="15" customHeight="1">
      <c r="E130" s="205" t="str">
        <f t="shared" si="4"/>
        <v>Groep</v>
      </c>
      <c r="F130" s="140" t="s">
        <v>198</v>
      </c>
      <c r="G130" s="141" t="s">
        <v>406</v>
      </c>
      <c r="H130" s="142" t="s">
        <v>407</v>
      </c>
      <c r="I130" s="143" t="s">
        <v>408</v>
      </c>
      <c r="J130" s="142" t="s">
        <v>409</v>
      </c>
      <c r="K130" s="635" t="s">
        <v>781</v>
      </c>
      <c r="L130" s="73"/>
      <c r="M130" s="50"/>
    </row>
    <row r="131" spans="4:15" ht="15" customHeight="1">
      <c r="E131" s="205" t="str">
        <f t="shared" si="4"/>
        <v>Ptn.</v>
      </c>
      <c r="F131" s="140" t="s">
        <v>288</v>
      </c>
      <c r="G131" s="141" t="s">
        <v>290</v>
      </c>
      <c r="H131" s="142" t="s">
        <v>290</v>
      </c>
      <c r="I131" s="143" t="s">
        <v>290</v>
      </c>
      <c r="J131" s="142" t="s">
        <v>289</v>
      </c>
      <c r="K131" s="635" t="s">
        <v>782</v>
      </c>
      <c r="L131" s="73"/>
      <c r="M131" s="50"/>
    </row>
    <row r="132" spans="4:15" ht="15" customHeight="1">
      <c r="E132" s="205" t="str">
        <f t="shared" si="4"/>
        <v>DS</v>
      </c>
      <c r="F132" s="140" t="s">
        <v>190</v>
      </c>
      <c r="G132" s="141" t="s">
        <v>297</v>
      </c>
      <c r="H132" s="142" t="s">
        <v>291</v>
      </c>
      <c r="I132" s="143" t="s">
        <v>291</v>
      </c>
      <c r="J132" s="142" t="s">
        <v>663</v>
      </c>
      <c r="K132" s="635" t="s">
        <v>838</v>
      </c>
      <c r="L132" s="73"/>
      <c r="M132" s="50"/>
    </row>
    <row r="133" spans="4:15" ht="15" customHeight="1">
      <c r="E133" s="205" t="str">
        <f t="shared" si="4"/>
        <v>Doelpunten</v>
      </c>
      <c r="F133" s="140" t="s">
        <v>294</v>
      </c>
      <c r="G133" s="141" t="s">
        <v>296</v>
      </c>
      <c r="H133" s="142" t="s">
        <v>295</v>
      </c>
      <c r="I133" s="143" t="s">
        <v>293</v>
      </c>
      <c r="J133" s="142" t="s">
        <v>292</v>
      </c>
      <c r="K133" s="635" t="s">
        <v>783</v>
      </c>
      <c r="L133" s="73"/>
      <c r="M133" s="50"/>
    </row>
    <row r="134" spans="4:15" ht="19.5" customHeight="1">
      <c r="E134" s="205" t="str">
        <f t="shared" si="4"/>
        <v xml:space="preserve">  Ptn.     Doelp.</v>
      </c>
      <c r="F134" s="140" t="s">
        <v>248</v>
      </c>
      <c r="G134" s="141" t="s">
        <v>247</v>
      </c>
      <c r="H134" s="142" t="s">
        <v>246</v>
      </c>
      <c r="I134" s="143" t="s">
        <v>245</v>
      </c>
      <c r="J134" s="142" t="s">
        <v>244</v>
      </c>
      <c r="K134" s="635" t="s">
        <v>854</v>
      </c>
      <c r="L134" s="73"/>
      <c r="M134" s="50"/>
    </row>
    <row r="135" spans="4:15" ht="15" customHeight="1">
      <c r="E135" s="205" t="str">
        <f t="shared" si="4"/>
        <v>Totaal</v>
      </c>
      <c r="F135" s="140" t="s">
        <v>298</v>
      </c>
      <c r="G135" s="141" t="s">
        <v>298</v>
      </c>
      <c r="H135" s="142" t="s">
        <v>303</v>
      </c>
      <c r="I135" s="143" t="s">
        <v>298</v>
      </c>
      <c r="J135" s="142" t="s">
        <v>298</v>
      </c>
      <c r="K135" s="635" t="s">
        <v>784</v>
      </c>
      <c r="L135" s="73"/>
      <c r="M135" s="50"/>
    </row>
    <row r="136" spans="4:15" ht="15" customHeight="1">
      <c r="E136" s="205" t="str">
        <f t="shared" si="4"/>
        <v>(herhaalde)</v>
      </c>
      <c r="F136" s="140" t="s">
        <v>1858</v>
      </c>
      <c r="G136" s="141" t="s">
        <v>1857</v>
      </c>
      <c r="H136" s="142" t="s">
        <v>1856</v>
      </c>
      <c r="I136" s="143" t="s">
        <v>1860</v>
      </c>
      <c r="J136" s="142" t="s">
        <v>1855</v>
      </c>
      <c r="K136" s="635" t="s">
        <v>1859</v>
      </c>
      <c r="L136" s="73"/>
      <c r="M136" s="50"/>
    </row>
    <row r="137" spans="4:15" ht="45" customHeight="1">
      <c r="E137" s="205" t="str">
        <f t="shared" si="4"/>
        <v>onderlinge resultaten 1</v>
      </c>
      <c r="F137" s="824" t="s">
        <v>1806</v>
      </c>
      <c r="G137" s="825" t="s">
        <v>1804</v>
      </c>
      <c r="H137" s="826" t="s">
        <v>1803</v>
      </c>
      <c r="I137" s="827" t="s">
        <v>1802</v>
      </c>
      <c r="J137" s="826" t="s">
        <v>1801</v>
      </c>
      <c r="K137" s="635" t="s">
        <v>1805</v>
      </c>
      <c r="L137" s="73"/>
      <c r="M137" s="50"/>
    </row>
    <row r="138" spans="4:15" ht="15" customHeight="1">
      <c r="E138" s="205" t="str">
        <f t="shared" si="4"/>
        <v>onderlinge resultaten 2</v>
      </c>
      <c r="F138" s="140" t="s">
        <v>1807</v>
      </c>
      <c r="G138" s="141" t="s">
        <v>1809</v>
      </c>
      <c r="H138" s="142" t="s">
        <v>1811</v>
      </c>
      <c r="I138" s="143" t="s">
        <v>1813</v>
      </c>
      <c r="J138" s="142" t="s">
        <v>1815</v>
      </c>
      <c r="K138" s="635" t="s">
        <v>1817</v>
      </c>
      <c r="L138" s="73"/>
      <c r="M138" s="50"/>
    </row>
    <row r="139" spans="4:15" ht="15" customHeight="1">
      <c r="E139" s="205" t="str">
        <f t="shared" si="4"/>
        <v>onderlinge resultaten 3</v>
      </c>
      <c r="F139" s="140" t="s">
        <v>1808</v>
      </c>
      <c r="G139" s="141" t="s">
        <v>1810</v>
      </c>
      <c r="H139" s="142" t="s">
        <v>1812</v>
      </c>
      <c r="I139" s="143" t="s">
        <v>1814</v>
      </c>
      <c r="J139" s="142" t="s">
        <v>1816</v>
      </c>
      <c r="K139" s="635" t="s">
        <v>1818</v>
      </c>
      <c r="L139" s="73"/>
      <c r="M139" s="50"/>
    </row>
    <row r="140" spans="4:15">
      <c r="E140" s="205" t="str">
        <f t="shared" si="4"/>
        <v>Overzichtstabel</v>
      </c>
      <c r="F140" s="133" t="s">
        <v>1819</v>
      </c>
      <c r="G140" s="134" t="s">
        <v>1823</v>
      </c>
      <c r="H140" s="132" t="s">
        <v>1822</v>
      </c>
      <c r="I140" s="135" t="s">
        <v>200</v>
      </c>
      <c r="J140" s="132" t="s">
        <v>1820</v>
      </c>
      <c r="K140" s="628" t="s">
        <v>1821</v>
      </c>
      <c r="L140" s="73"/>
      <c r="M140" s="72"/>
      <c r="N140" s="72"/>
      <c r="O140" s="72"/>
    </row>
    <row r="141" spans="4:15" ht="30.75" thickBot="1">
      <c r="E141" s="205" t="str">
        <f t="shared" si="4"/>
        <v>Wereldkampioen 2026:</v>
      </c>
      <c r="F141" s="133" t="s">
        <v>890</v>
      </c>
      <c r="G141" s="134" t="s">
        <v>891</v>
      </c>
      <c r="H141" s="132" t="s">
        <v>892</v>
      </c>
      <c r="I141" s="135" t="s">
        <v>893</v>
      </c>
      <c r="J141" s="132" t="s">
        <v>894</v>
      </c>
      <c r="K141" s="628" t="s">
        <v>895</v>
      </c>
      <c r="L141" s="73"/>
      <c r="M141" s="72"/>
      <c r="N141" s="72"/>
      <c r="O141" s="72"/>
    </row>
    <row r="142" spans="4:15" ht="15.75" thickTop="1">
      <c r="D142" s="200">
        <v>1</v>
      </c>
      <c r="E142" s="205" t="str">
        <f t="shared" si="4"/>
        <v>ronde van 32 - 1</v>
      </c>
      <c r="F142" s="133" t="s">
        <v>939</v>
      </c>
      <c r="G142" s="134" t="s">
        <v>992</v>
      </c>
      <c r="H142" s="132" t="s">
        <v>976</v>
      </c>
      <c r="I142" s="135" t="s">
        <v>923</v>
      </c>
      <c r="J142" s="132" t="s">
        <v>867</v>
      </c>
      <c r="K142" s="628" t="s">
        <v>960</v>
      </c>
      <c r="L142" s="73"/>
      <c r="M142" s="72"/>
      <c r="N142" s="72"/>
      <c r="O142" s="72"/>
    </row>
    <row r="143" spans="4:15">
      <c r="D143" s="128">
        <v>2</v>
      </c>
      <c r="E143" s="205" t="str">
        <f t="shared" si="4"/>
        <v>ronde van 32 - 2</v>
      </c>
      <c r="F143" s="133" t="s">
        <v>940</v>
      </c>
      <c r="G143" s="134" t="s">
        <v>993</v>
      </c>
      <c r="H143" s="132" t="s">
        <v>977</v>
      </c>
      <c r="I143" s="135" t="s">
        <v>924</v>
      </c>
      <c r="J143" s="132" t="s">
        <v>868</v>
      </c>
      <c r="K143" s="628" t="s">
        <v>961</v>
      </c>
      <c r="L143" s="73"/>
      <c r="M143" s="72"/>
      <c r="N143" s="72"/>
      <c r="O143" s="72"/>
    </row>
    <row r="144" spans="4:15">
      <c r="D144" s="128">
        <v>3</v>
      </c>
      <c r="E144" s="205" t="str">
        <f t="shared" si="4"/>
        <v>ronde van 32 - 3</v>
      </c>
      <c r="F144" s="133" t="s">
        <v>941</v>
      </c>
      <c r="G144" s="134" t="s">
        <v>994</v>
      </c>
      <c r="H144" s="132" t="s">
        <v>978</v>
      </c>
      <c r="I144" s="135" t="s">
        <v>925</v>
      </c>
      <c r="J144" s="132" t="s">
        <v>869</v>
      </c>
      <c r="K144" s="628" t="s">
        <v>962</v>
      </c>
      <c r="L144" s="73"/>
      <c r="M144" s="72"/>
      <c r="N144" s="72"/>
      <c r="O144" s="72"/>
    </row>
    <row r="145" spans="4:15">
      <c r="D145" s="128">
        <v>4</v>
      </c>
      <c r="E145" s="205" t="str">
        <f t="shared" si="4"/>
        <v>ronde van 32 - 4</v>
      </c>
      <c r="F145" s="133" t="s">
        <v>942</v>
      </c>
      <c r="G145" s="134" t="s">
        <v>995</v>
      </c>
      <c r="H145" s="132" t="s">
        <v>979</v>
      </c>
      <c r="I145" s="135" t="s">
        <v>926</v>
      </c>
      <c r="J145" s="132" t="s">
        <v>870</v>
      </c>
      <c r="K145" s="628" t="s">
        <v>963</v>
      </c>
      <c r="L145" s="73"/>
      <c r="M145" s="72"/>
      <c r="N145" s="72"/>
      <c r="O145" s="72"/>
    </row>
    <row r="146" spans="4:15">
      <c r="D146" s="128">
        <v>5</v>
      </c>
      <c r="E146" s="205" t="str">
        <f t="shared" si="4"/>
        <v>ronde van 32 - 5</v>
      </c>
      <c r="F146" s="133" t="s">
        <v>943</v>
      </c>
      <c r="G146" s="134" t="s">
        <v>996</v>
      </c>
      <c r="H146" s="132" t="s">
        <v>980</v>
      </c>
      <c r="I146" s="135" t="s">
        <v>927</v>
      </c>
      <c r="J146" s="132" t="s">
        <v>871</v>
      </c>
      <c r="K146" s="628" t="s">
        <v>964</v>
      </c>
      <c r="L146" s="73"/>
      <c r="M146" s="72"/>
      <c r="N146" s="72"/>
      <c r="O146" s="72"/>
    </row>
    <row r="147" spans="4:15">
      <c r="D147" s="128">
        <v>6</v>
      </c>
      <c r="E147" s="205" t="str">
        <f t="shared" si="4"/>
        <v>ronde van 32 - 6</v>
      </c>
      <c r="F147" s="133" t="s">
        <v>944</v>
      </c>
      <c r="G147" s="134" t="s">
        <v>997</v>
      </c>
      <c r="H147" s="132" t="s">
        <v>981</v>
      </c>
      <c r="I147" s="135" t="s">
        <v>928</v>
      </c>
      <c r="J147" s="132" t="s">
        <v>872</v>
      </c>
      <c r="K147" s="628" t="s">
        <v>965</v>
      </c>
      <c r="L147" s="73"/>
      <c r="M147" s="72"/>
      <c r="N147" s="72"/>
      <c r="O147" s="72"/>
    </row>
    <row r="148" spans="4:15">
      <c r="D148" s="128">
        <v>7</v>
      </c>
      <c r="E148" s="205" t="str">
        <f t="shared" si="4"/>
        <v>ronde van 32 - 7</v>
      </c>
      <c r="F148" s="133" t="s">
        <v>945</v>
      </c>
      <c r="G148" s="134" t="s">
        <v>998</v>
      </c>
      <c r="H148" s="132" t="s">
        <v>982</v>
      </c>
      <c r="I148" s="135" t="s">
        <v>929</v>
      </c>
      <c r="J148" s="132" t="s">
        <v>873</v>
      </c>
      <c r="K148" s="628" t="s">
        <v>966</v>
      </c>
      <c r="L148" s="73"/>
      <c r="M148" s="72"/>
      <c r="N148" s="72"/>
      <c r="O148" s="72"/>
    </row>
    <row r="149" spans="4:15">
      <c r="D149" s="383">
        <v>8</v>
      </c>
      <c r="E149" s="205" t="str">
        <f t="shared" si="4"/>
        <v>ronde van 32 - 8</v>
      </c>
      <c r="F149" s="133" t="s">
        <v>946</v>
      </c>
      <c r="G149" s="134" t="s">
        <v>999</v>
      </c>
      <c r="H149" s="132" t="s">
        <v>983</v>
      </c>
      <c r="I149" s="135" t="s">
        <v>930</v>
      </c>
      <c r="J149" s="132" t="s">
        <v>874</v>
      </c>
      <c r="K149" s="628" t="s">
        <v>967</v>
      </c>
      <c r="L149" s="73"/>
      <c r="M149" s="72"/>
      <c r="N149" s="72"/>
      <c r="O149" s="72"/>
    </row>
    <row r="150" spans="4:15">
      <c r="D150" s="128">
        <v>9</v>
      </c>
      <c r="E150" s="205" t="str">
        <f t="shared" si="4"/>
        <v>ronde van 32 - 9</v>
      </c>
      <c r="F150" s="133" t="s">
        <v>947</v>
      </c>
      <c r="G150" s="134" t="s">
        <v>1000</v>
      </c>
      <c r="H150" s="132" t="s">
        <v>984</v>
      </c>
      <c r="I150" s="135" t="s">
        <v>931</v>
      </c>
      <c r="J150" s="132" t="s">
        <v>875</v>
      </c>
      <c r="K150" s="628" t="s">
        <v>968</v>
      </c>
      <c r="L150" s="73"/>
      <c r="M150" s="72"/>
      <c r="N150" s="72"/>
      <c r="O150" s="72"/>
    </row>
    <row r="151" spans="4:15">
      <c r="D151" s="383">
        <v>10</v>
      </c>
      <c r="E151" s="205" t="str">
        <f t="shared" si="4"/>
        <v>ronde van 32 - 10</v>
      </c>
      <c r="F151" s="133" t="s">
        <v>948</v>
      </c>
      <c r="G151" s="134" t="s">
        <v>1001</v>
      </c>
      <c r="H151" s="132" t="s">
        <v>985</v>
      </c>
      <c r="I151" s="135" t="s">
        <v>932</v>
      </c>
      <c r="J151" s="132" t="s">
        <v>876</v>
      </c>
      <c r="K151" s="628" t="s">
        <v>969</v>
      </c>
      <c r="L151" s="73"/>
      <c r="M151" s="72"/>
      <c r="N151" s="72"/>
      <c r="O151" s="72"/>
    </row>
    <row r="152" spans="4:15">
      <c r="D152" s="128">
        <v>11</v>
      </c>
      <c r="E152" s="205" t="str">
        <f t="shared" si="4"/>
        <v>ronde van 32 - 11</v>
      </c>
      <c r="F152" s="133" t="s">
        <v>949</v>
      </c>
      <c r="G152" s="134" t="s">
        <v>1002</v>
      </c>
      <c r="H152" s="132" t="s">
        <v>986</v>
      </c>
      <c r="I152" s="135" t="s">
        <v>933</v>
      </c>
      <c r="J152" s="132" t="s">
        <v>877</v>
      </c>
      <c r="K152" s="628" t="s">
        <v>970</v>
      </c>
      <c r="L152" s="73"/>
      <c r="M152" s="72"/>
      <c r="N152" s="72"/>
      <c r="O152" s="72"/>
    </row>
    <row r="153" spans="4:15">
      <c r="D153" s="383">
        <v>12</v>
      </c>
      <c r="E153" s="205" t="str">
        <f t="shared" si="4"/>
        <v>ronde van 32 - 12</v>
      </c>
      <c r="F153" s="133" t="s">
        <v>950</v>
      </c>
      <c r="G153" s="134" t="s">
        <v>1003</v>
      </c>
      <c r="H153" s="132" t="s">
        <v>987</v>
      </c>
      <c r="I153" s="135" t="s">
        <v>934</v>
      </c>
      <c r="J153" s="132" t="s">
        <v>878</v>
      </c>
      <c r="K153" s="628" t="s">
        <v>971</v>
      </c>
      <c r="L153" s="73"/>
      <c r="M153" s="72"/>
      <c r="N153" s="72"/>
      <c r="O153" s="72"/>
    </row>
    <row r="154" spans="4:15">
      <c r="D154" s="128">
        <v>13</v>
      </c>
      <c r="E154" s="205" t="str">
        <f t="shared" si="4"/>
        <v>ronde van 32 - 13</v>
      </c>
      <c r="F154" s="133" t="s">
        <v>951</v>
      </c>
      <c r="G154" s="134" t="s">
        <v>1004</v>
      </c>
      <c r="H154" s="132" t="s">
        <v>988</v>
      </c>
      <c r="I154" s="135" t="s">
        <v>935</v>
      </c>
      <c r="J154" s="132" t="s">
        <v>879</v>
      </c>
      <c r="K154" s="628" t="s">
        <v>972</v>
      </c>
      <c r="L154" s="73"/>
      <c r="M154" s="72"/>
      <c r="N154" s="72"/>
      <c r="O154" s="72"/>
    </row>
    <row r="155" spans="4:15">
      <c r="D155" s="383">
        <v>14</v>
      </c>
      <c r="E155" s="205" t="str">
        <f t="shared" si="4"/>
        <v>ronde van 32 - 14</v>
      </c>
      <c r="F155" s="133" t="s">
        <v>952</v>
      </c>
      <c r="G155" s="134" t="s">
        <v>1005</v>
      </c>
      <c r="H155" s="132" t="s">
        <v>989</v>
      </c>
      <c r="I155" s="135" t="s">
        <v>936</v>
      </c>
      <c r="J155" s="132" t="s">
        <v>880</v>
      </c>
      <c r="K155" s="628" t="s">
        <v>973</v>
      </c>
      <c r="L155" s="73"/>
      <c r="M155" s="72"/>
      <c r="N155" s="72"/>
      <c r="O155" s="72"/>
    </row>
    <row r="156" spans="4:15">
      <c r="D156" s="128">
        <v>15</v>
      </c>
      <c r="E156" s="205" t="str">
        <f t="shared" si="4"/>
        <v>ronde van 32 - 15</v>
      </c>
      <c r="F156" s="133" t="s">
        <v>953</v>
      </c>
      <c r="G156" s="134" t="s">
        <v>1006</v>
      </c>
      <c r="H156" s="132" t="s">
        <v>990</v>
      </c>
      <c r="I156" s="135" t="s">
        <v>937</v>
      </c>
      <c r="J156" s="132" t="s">
        <v>881</v>
      </c>
      <c r="K156" s="628" t="s">
        <v>974</v>
      </c>
      <c r="L156" s="73"/>
      <c r="M156" s="72"/>
      <c r="N156" s="72"/>
      <c r="O156" s="72"/>
    </row>
    <row r="157" spans="4:15" ht="15.75" thickBot="1">
      <c r="D157" s="130">
        <v>16</v>
      </c>
      <c r="E157" s="205" t="str">
        <f t="shared" si="4"/>
        <v>ronde van 32 - 16</v>
      </c>
      <c r="F157" s="133" t="s">
        <v>954</v>
      </c>
      <c r="G157" s="134" t="s">
        <v>1007</v>
      </c>
      <c r="H157" s="132" t="s">
        <v>991</v>
      </c>
      <c r="I157" s="135" t="s">
        <v>938</v>
      </c>
      <c r="J157" s="132" t="s">
        <v>882</v>
      </c>
      <c r="K157" s="628" t="s">
        <v>975</v>
      </c>
      <c r="L157" s="73"/>
      <c r="M157" s="72"/>
      <c r="N157" s="72"/>
      <c r="O157" s="72"/>
    </row>
    <row r="158" spans="4:15" ht="15.75" thickTop="1">
      <c r="D158" s="200">
        <v>1</v>
      </c>
      <c r="E158" s="205" t="str">
        <f t="shared" si="4"/>
        <v>Achtste finale 1</v>
      </c>
      <c r="F158" s="133" t="s">
        <v>49</v>
      </c>
      <c r="G158" s="134" t="s">
        <v>201</v>
      </c>
      <c r="H158" s="132" t="s">
        <v>209</v>
      </c>
      <c r="I158" s="135" t="s">
        <v>217</v>
      </c>
      <c r="J158" s="132" t="s">
        <v>153</v>
      </c>
      <c r="K158" s="628" t="s">
        <v>785</v>
      </c>
      <c r="L158" s="73"/>
      <c r="M158" s="72"/>
      <c r="N158" s="72"/>
      <c r="O158" s="72"/>
    </row>
    <row r="159" spans="4:15">
      <c r="D159" s="128">
        <v>2</v>
      </c>
      <c r="E159" s="205" t="str">
        <f t="shared" si="4"/>
        <v>Achtste finale 2</v>
      </c>
      <c r="F159" s="133" t="s">
        <v>47</v>
      </c>
      <c r="G159" s="134" t="s">
        <v>202</v>
      </c>
      <c r="H159" s="132" t="s">
        <v>210</v>
      </c>
      <c r="I159" s="135" t="s">
        <v>218</v>
      </c>
      <c r="J159" s="132" t="s">
        <v>154</v>
      </c>
      <c r="K159" s="628" t="s">
        <v>786</v>
      </c>
      <c r="L159" s="73"/>
      <c r="M159" s="72"/>
      <c r="N159" s="72"/>
      <c r="O159" s="72"/>
    </row>
    <row r="160" spans="4:15">
      <c r="D160" s="128">
        <v>3</v>
      </c>
      <c r="E160" s="205" t="str">
        <f t="shared" si="4"/>
        <v>Achtste finale 3</v>
      </c>
      <c r="F160" s="133" t="s">
        <v>50</v>
      </c>
      <c r="G160" s="134" t="s">
        <v>203</v>
      </c>
      <c r="H160" s="132" t="s">
        <v>211</v>
      </c>
      <c r="I160" s="135" t="s">
        <v>219</v>
      </c>
      <c r="J160" s="132" t="s">
        <v>155</v>
      </c>
      <c r="K160" s="628" t="s">
        <v>787</v>
      </c>
      <c r="L160" s="73"/>
      <c r="M160" s="72"/>
      <c r="N160" s="72"/>
      <c r="O160" s="72"/>
    </row>
    <row r="161" spans="4:15">
      <c r="D161" s="128">
        <v>4</v>
      </c>
      <c r="E161" s="205" t="str">
        <f t="shared" si="4"/>
        <v>Achtste finale 4</v>
      </c>
      <c r="F161" s="133" t="s">
        <v>48</v>
      </c>
      <c r="G161" s="134" t="s">
        <v>204</v>
      </c>
      <c r="H161" s="132" t="s">
        <v>212</v>
      </c>
      <c r="I161" s="135" t="s">
        <v>220</v>
      </c>
      <c r="J161" s="132" t="s">
        <v>156</v>
      </c>
      <c r="K161" s="628" t="s">
        <v>788</v>
      </c>
      <c r="L161" s="73"/>
      <c r="M161" s="72"/>
      <c r="N161" s="72"/>
      <c r="O161" s="72"/>
    </row>
    <row r="162" spans="4:15">
      <c r="D162" s="128">
        <v>5</v>
      </c>
      <c r="E162" s="205" t="str">
        <f t="shared" si="4"/>
        <v>Achtste finale 5</v>
      </c>
      <c r="F162" s="133" t="s">
        <v>45</v>
      </c>
      <c r="G162" s="134" t="s">
        <v>205</v>
      </c>
      <c r="H162" s="132" t="s">
        <v>213</v>
      </c>
      <c r="I162" s="135" t="s">
        <v>221</v>
      </c>
      <c r="J162" s="132" t="s">
        <v>157</v>
      </c>
      <c r="K162" s="628" t="s">
        <v>789</v>
      </c>
      <c r="L162" s="73"/>
      <c r="M162" s="72"/>
      <c r="N162" s="72"/>
      <c r="O162" s="72"/>
    </row>
    <row r="163" spans="4:15">
      <c r="D163" s="128">
        <v>6</v>
      </c>
      <c r="E163" s="205" t="str">
        <f t="shared" si="4"/>
        <v>Achtste finale 6</v>
      </c>
      <c r="F163" s="133" t="s">
        <v>46</v>
      </c>
      <c r="G163" s="134" t="s">
        <v>206</v>
      </c>
      <c r="H163" s="132" t="s">
        <v>214</v>
      </c>
      <c r="I163" s="135" t="s">
        <v>222</v>
      </c>
      <c r="J163" s="132" t="s">
        <v>158</v>
      </c>
      <c r="K163" s="628" t="s">
        <v>790</v>
      </c>
      <c r="L163" s="73"/>
      <c r="M163" s="72"/>
      <c r="N163" s="72"/>
      <c r="O163" s="72"/>
    </row>
    <row r="164" spans="4:15">
      <c r="D164" s="128">
        <v>7</v>
      </c>
      <c r="E164" s="205" t="str">
        <f t="shared" si="4"/>
        <v>Achtste finale 7</v>
      </c>
      <c r="F164" s="133" t="s">
        <v>51</v>
      </c>
      <c r="G164" s="134" t="s">
        <v>207</v>
      </c>
      <c r="H164" s="132" t="s">
        <v>215</v>
      </c>
      <c r="I164" s="135" t="s">
        <v>223</v>
      </c>
      <c r="J164" s="132" t="s">
        <v>159</v>
      </c>
      <c r="K164" s="628" t="s">
        <v>791</v>
      </c>
      <c r="L164" s="73"/>
    </row>
    <row r="165" spans="4:15" ht="15.75" thickBot="1">
      <c r="D165" s="130">
        <v>8</v>
      </c>
      <c r="E165" s="205" t="str">
        <f t="shared" si="4"/>
        <v>Achtste finale 8</v>
      </c>
      <c r="F165" s="133" t="s">
        <v>52</v>
      </c>
      <c r="G165" s="134" t="s">
        <v>208</v>
      </c>
      <c r="H165" s="132" t="s">
        <v>216</v>
      </c>
      <c r="I165" s="135" t="s">
        <v>224</v>
      </c>
      <c r="J165" s="132" t="s">
        <v>160</v>
      </c>
      <c r="K165" s="628" t="s">
        <v>792</v>
      </c>
      <c r="L165" s="73"/>
    </row>
    <row r="166" spans="4:15" ht="15.75" thickTop="1">
      <c r="D166" s="200">
        <v>1</v>
      </c>
      <c r="E166" s="205" t="str">
        <f t="shared" si="4"/>
        <v>Kwart finale 1</v>
      </c>
      <c r="F166" s="177" t="s">
        <v>365</v>
      </c>
      <c r="G166" s="134" t="s">
        <v>233</v>
      </c>
      <c r="H166" s="132" t="s">
        <v>229</v>
      </c>
      <c r="I166" s="135" t="s">
        <v>225</v>
      </c>
      <c r="J166" s="132" t="s">
        <v>161</v>
      </c>
      <c r="K166" s="628" t="s">
        <v>793</v>
      </c>
      <c r="L166" s="73"/>
    </row>
    <row r="167" spans="4:15">
      <c r="D167" s="128">
        <v>2</v>
      </c>
      <c r="E167" s="205" t="str">
        <f t="shared" si="4"/>
        <v>Kwart finale 2</v>
      </c>
      <c r="F167" s="177" t="s">
        <v>366</v>
      </c>
      <c r="G167" s="134" t="s">
        <v>234</v>
      </c>
      <c r="H167" s="132" t="s">
        <v>230</v>
      </c>
      <c r="I167" s="135" t="s">
        <v>226</v>
      </c>
      <c r="J167" s="132" t="s">
        <v>162</v>
      </c>
      <c r="K167" s="628" t="s">
        <v>794</v>
      </c>
      <c r="L167" s="73"/>
    </row>
    <row r="168" spans="4:15">
      <c r="D168" s="128">
        <v>3</v>
      </c>
      <c r="E168" s="205" t="str">
        <f t="shared" si="4"/>
        <v>Kwart finale 3</v>
      </c>
      <c r="F168" s="177" t="s">
        <v>367</v>
      </c>
      <c r="G168" s="134" t="s">
        <v>235</v>
      </c>
      <c r="H168" s="132" t="s">
        <v>231</v>
      </c>
      <c r="I168" s="135" t="s">
        <v>227</v>
      </c>
      <c r="J168" s="132" t="s">
        <v>163</v>
      </c>
      <c r="K168" s="628" t="s">
        <v>795</v>
      </c>
      <c r="L168" s="73"/>
    </row>
    <row r="169" spans="4:15" ht="15.75" thickBot="1">
      <c r="D169" s="130">
        <v>4</v>
      </c>
      <c r="E169" s="205" t="str">
        <f t="shared" si="4"/>
        <v>Kwart finale 4</v>
      </c>
      <c r="F169" s="177" t="s">
        <v>368</v>
      </c>
      <c r="G169" s="134" t="s">
        <v>236</v>
      </c>
      <c r="H169" s="132" t="s">
        <v>232</v>
      </c>
      <c r="I169" s="135" t="s">
        <v>228</v>
      </c>
      <c r="J169" s="132" t="s">
        <v>164</v>
      </c>
      <c r="K169" s="628" t="s">
        <v>796</v>
      </c>
      <c r="L169" s="73"/>
    </row>
    <row r="170" spans="4:15" ht="15.75" thickTop="1">
      <c r="E170" s="205" t="str">
        <f t="shared" si="4"/>
        <v>Halve finale 1</v>
      </c>
      <c r="F170" s="133" t="s">
        <v>53</v>
      </c>
      <c r="G170" s="134" t="s">
        <v>237</v>
      </c>
      <c r="H170" s="132" t="s">
        <v>239</v>
      </c>
      <c r="I170" s="135" t="s">
        <v>241</v>
      </c>
      <c r="J170" s="132" t="s">
        <v>165</v>
      </c>
      <c r="K170" s="628" t="s">
        <v>797</v>
      </c>
      <c r="L170" s="73"/>
    </row>
    <row r="171" spans="4:15">
      <c r="E171" s="205" t="str">
        <f t="shared" si="4"/>
        <v>Halve finale 2</v>
      </c>
      <c r="F171" s="133" t="s">
        <v>54</v>
      </c>
      <c r="G171" s="134" t="s">
        <v>238</v>
      </c>
      <c r="H171" s="132" t="s">
        <v>240</v>
      </c>
      <c r="I171" s="135" t="s">
        <v>242</v>
      </c>
      <c r="J171" s="132" t="s">
        <v>166</v>
      </c>
      <c r="K171" s="628" t="s">
        <v>798</v>
      </c>
      <c r="L171" s="73"/>
    </row>
    <row r="172" spans="4:15">
      <c r="E172" s="205" t="str">
        <f t="shared" si="4"/>
        <v>Derde plaats</v>
      </c>
      <c r="F172" s="133" t="s">
        <v>152</v>
      </c>
      <c r="G172" s="134" t="s">
        <v>394</v>
      </c>
      <c r="H172" s="132" t="s">
        <v>395</v>
      </c>
      <c r="I172" s="135" t="s">
        <v>243</v>
      </c>
      <c r="J172" s="132" t="s">
        <v>167</v>
      </c>
      <c r="K172" s="628" t="s">
        <v>799</v>
      </c>
      <c r="L172" s="73"/>
    </row>
    <row r="173" spans="4:15">
      <c r="E173" s="205" t="str">
        <f t="shared" si="4"/>
        <v>Finale</v>
      </c>
      <c r="F173" s="133" t="s">
        <v>55</v>
      </c>
      <c r="G173" s="134" t="s">
        <v>55</v>
      </c>
      <c r="H173" s="132" t="s">
        <v>168</v>
      </c>
      <c r="I173" s="135" t="s">
        <v>55</v>
      </c>
      <c r="J173" s="132" t="s">
        <v>168</v>
      </c>
      <c r="K173" s="628" t="s">
        <v>168</v>
      </c>
      <c r="L173" s="73"/>
    </row>
    <row r="174" spans="4:15">
      <c r="E174" s="205" t="str">
        <f t="shared" si="4"/>
        <v>Beoordeling</v>
      </c>
      <c r="F174" s="133" t="s">
        <v>1840</v>
      </c>
      <c r="G174" s="134" t="s">
        <v>1844</v>
      </c>
      <c r="H174" s="132" t="s">
        <v>1843</v>
      </c>
      <c r="I174" s="135" t="s">
        <v>1842</v>
      </c>
      <c r="J174" s="132" t="s">
        <v>1839</v>
      </c>
      <c r="K174" s="628" t="s">
        <v>1841</v>
      </c>
      <c r="L174" s="73"/>
    </row>
    <row r="175" spans="4:15">
      <c r="E175" s="205" t="str">
        <f t="shared" si="4"/>
        <v>Penalties:</v>
      </c>
      <c r="F175" s="133" t="s">
        <v>542</v>
      </c>
      <c r="G175" s="134" t="s">
        <v>543</v>
      </c>
      <c r="H175" s="132" t="s">
        <v>544</v>
      </c>
      <c r="I175" s="135" t="s">
        <v>545</v>
      </c>
      <c r="J175" s="132" t="s">
        <v>546</v>
      </c>
      <c r="K175" s="628" t="s">
        <v>800</v>
      </c>
      <c r="L175" s="73"/>
    </row>
    <row r="176" spans="4:15">
      <c r="E176" s="205" t="str">
        <f t="shared" si="4"/>
        <v>Naam</v>
      </c>
      <c r="F176" s="133" t="s">
        <v>403</v>
      </c>
      <c r="G176" s="134" t="s">
        <v>646</v>
      </c>
      <c r="H176" s="132" t="s">
        <v>645</v>
      </c>
      <c r="I176" s="135" t="s">
        <v>644</v>
      </c>
      <c r="J176" s="132" t="s">
        <v>403</v>
      </c>
      <c r="K176" s="628" t="s">
        <v>801</v>
      </c>
      <c r="L176" s="73"/>
    </row>
    <row r="177" spans="5:12" ht="41.25" customHeight="1">
      <c r="E177" s="205" t="str">
        <f t="shared" si="4"/>
        <v>Groeps-combinatie:</v>
      </c>
      <c r="F177" s="288" t="s">
        <v>1083</v>
      </c>
      <c r="G177" s="289" t="s">
        <v>1084</v>
      </c>
      <c r="H177" s="290" t="s">
        <v>1085</v>
      </c>
      <c r="I177" s="291" t="s">
        <v>1086</v>
      </c>
      <c r="J177" s="290" t="s">
        <v>1087</v>
      </c>
      <c r="K177" s="634" t="s">
        <v>1088</v>
      </c>
      <c r="L177" s="292"/>
    </row>
    <row r="178" spans="5:12">
      <c r="E178" s="205" t="str">
        <f t="shared" si="4"/>
        <v>Eerste in groep</v>
      </c>
      <c r="F178" s="288" t="s">
        <v>1089</v>
      </c>
      <c r="G178" s="289" t="s">
        <v>1090</v>
      </c>
      <c r="H178" s="290" t="s">
        <v>1091</v>
      </c>
      <c r="I178" s="291" t="s">
        <v>1092</v>
      </c>
      <c r="J178" s="290" t="s">
        <v>1093</v>
      </c>
      <c r="K178" s="634" t="s">
        <v>1094</v>
      </c>
      <c r="L178" s="292"/>
    </row>
    <row r="179" spans="5:12" ht="32.25" customHeight="1">
      <c r="E179" s="205" t="str">
        <f t="shared" si="4"/>
        <v>tegen derde in groep</v>
      </c>
      <c r="F179" s="288" t="s">
        <v>1095</v>
      </c>
      <c r="G179" s="289" t="s">
        <v>1096</v>
      </c>
      <c r="H179" s="290" t="s">
        <v>1097</v>
      </c>
      <c r="I179" s="291" t="s">
        <v>1098</v>
      </c>
      <c r="J179" s="290" t="s">
        <v>1099</v>
      </c>
      <c r="K179" s="634" t="s">
        <v>1100</v>
      </c>
      <c r="L179" s="292"/>
    </row>
    <row r="180" spans="5:12">
      <c r="E180" s="205" t="str">
        <f t="shared" si="4"/>
        <v>Derde van de groep</v>
      </c>
      <c r="F180" s="133" t="s">
        <v>1121</v>
      </c>
      <c r="G180" s="134" t="s">
        <v>1122</v>
      </c>
      <c r="H180" s="132" t="s">
        <v>1123</v>
      </c>
      <c r="I180" s="135" t="s">
        <v>1124</v>
      </c>
      <c r="J180" s="132" t="s">
        <v>1125</v>
      </c>
      <c r="K180" s="628" t="s">
        <v>1126</v>
      </c>
      <c r="L180" s="73"/>
    </row>
    <row r="181" spans="5:12">
      <c r="E181" s="205" t="str">
        <f t="shared" si="4"/>
        <v>Grp</v>
      </c>
      <c r="F181" s="133" t="s">
        <v>1110</v>
      </c>
      <c r="G181" s="134" t="s">
        <v>1110</v>
      </c>
      <c r="H181" s="132" t="s">
        <v>1110</v>
      </c>
      <c r="I181" s="135" t="s">
        <v>1110</v>
      </c>
      <c r="J181" s="132" t="s">
        <v>1110</v>
      </c>
      <c r="K181" s="628" t="s">
        <v>1110</v>
      </c>
      <c r="L181" s="73"/>
    </row>
    <row r="182" spans="5:12" ht="30" customHeight="1">
      <c r="E182" s="531" t="str">
        <f t="shared" si="4"/>
        <v>Groepscombinatie:</v>
      </c>
      <c r="F182" s="288" t="s">
        <v>1083</v>
      </c>
      <c r="G182" s="289" t="s">
        <v>1084</v>
      </c>
      <c r="H182" s="290" t="s">
        <v>1085</v>
      </c>
      <c r="I182" s="291" t="s">
        <v>1086</v>
      </c>
      <c r="J182" s="290" t="s">
        <v>1622</v>
      </c>
      <c r="K182" s="634" t="s">
        <v>1623</v>
      </c>
      <c r="L182" s="292"/>
    </row>
    <row r="183" spans="5:12">
      <c r="E183" s="205" t="str">
        <f t="shared" si="4"/>
        <v>Niet gekwalificeerd:</v>
      </c>
      <c r="F183" s="133" t="s">
        <v>1624</v>
      </c>
      <c r="G183" s="134" t="s">
        <v>1625</v>
      </c>
      <c r="H183" s="132" t="s">
        <v>1626</v>
      </c>
      <c r="I183" s="135" t="s">
        <v>1627</v>
      </c>
      <c r="J183" s="132" t="s">
        <v>1628</v>
      </c>
      <c r="K183" s="628" t="s">
        <v>1629</v>
      </c>
      <c r="L183" s="73"/>
    </row>
    <row r="184" spans="5:12">
      <c r="E184" s="205" t="str">
        <f t="shared" si="4"/>
        <v>tv kanaal</v>
      </c>
      <c r="F184" s="133" t="s">
        <v>1714</v>
      </c>
      <c r="G184" s="134" t="s">
        <v>1715</v>
      </c>
      <c r="H184" s="132" t="s">
        <v>1716</v>
      </c>
      <c r="I184" s="135" t="s">
        <v>1717</v>
      </c>
      <c r="J184" s="132" t="s">
        <v>1713</v>
      </c>
      <c r="K184" s="628" t="s">
        <v>1718</v>
      </c>
      <c r="L184" s="73"/>
    </row>
    <row r="185" spans="5:12">
      <c r="E185" s="205" t="str">
        <f t="shared" si="4"/>
        <v>Locatie</v>
      </c>
      <c r="F185" s="133" t="s">
        <v>392</v>
      </c>
      <c r="G185" s="134" t="s">
        <v>1719</v>
      </c>
      <c r="H185" s="132" t="s">
        <v>1720</v>
      </c>
      <c r="I185" s="135" t="s">
        <v>1721</v>
      </c>
      <c r="J185" s="132" t="s">
        <v>1722</v>
      </c>
      <c r="K185" s="628" t="s">
        <v>1723</v>
      </c>
      <c r="L185" s="73"/>
    </row>
    <row r="186" spans="5:12">
      <c r="E186" s="205" t="str">
        <f t="shared" si="4"/>
        <v>FIFA-rank.</v>
      </c>
      <c r="F186" s="133" t="s">
        <v>1846</v>
      </c>
      <c r="G186" s="134" t="s">
        <v>1847</v>
      </c>
      <c r="H186" s="132" t="s">
        <v>1848</v>
      </c>
      <c r="I186" s="135" t="s">
        <v>1848</v>
      </c>
      <c r="J186" s="132" t="s">
        <v>1845</v>
      </c>
      <c r="K186" s="628" t="s">
        <v>1849</v>
      </c>
      <c r="L186" s="73"/>
    </row>
    <row r="187" spans="5:12">
      <c r="E187" s="205">
        <f t="shared" si="4"/>
        <v>0</v>
      </c>
      <c r="F187" s="133"/>
      <c r="G187" s="134"/>
      <c r="H187" s="132"/>
      <c r="I187" s="135"/>
      <c r="J187" s="132"/>
      <c r="K187" s="628"/>
      <c r="L187" s="73"/>
    </row>
    <row r="188" spans="5:12" ht="28.5">
      <c r="E188" s="205"/>
      <c r="F188" s="79" t="s">
        <v>193</v>
      </c>
      <c r="G188" s="80"/>
      <c r="H188" s="80"/>
      <c r="I188" s="80"/>
      <c r="J188" s="80"/>
      <c r="K188" s="625"/>
      <c r="L188" s="81"/>
    </row>
    <row r="189" spans="5:12" ht="54.75" customHeight="1">
      <c r="E189" s="205" t="str">
        <f t="shared" si="4"/>
        <v>Groepen met Fair-Play score:</v>
      </c>
      <c r="F189" s="144" t="s">
        <v>1731</v>
      </c>
      <c r="G189" s="145" t="s">
        <v>1730</v>
      </c>
      <c r="H189" s="146" t="s">
        <v>1729</v>
      </c>
      <c r="I189" s="147" t="s">
        <v>1728</v>
      </c>
      <c r="J189" s="146" t="s">
        <v>1726</v>
      </c>
      <c r="K189" s="634" t="s">
        <v>1727</v>
      </c>
      <c r="L189" s="82"/>
    </row>
    <row r="190" spans="5:12" ht="51.75" customHeight="1">
      <c r="E190" s="205" t="str">
        <f t="shared" si="4"/>
        <v>De rangschikking is verduidelijkt in alle groepen.</v>
      </c>
      <c r="F190" s="144" t="s">
        <v>280</v>
      </c>
      <c r="G190" s="145" t="s">
        <v>283</v>
      </c>
      <c r="H190" s="146" t="s">
        <v>282</v>
      </c>
      <c r="I190" s="147" t="s">
        <v>281</v>
      </c>
      <c r="J190" s="146" t="s">
        <v>279</v>
      </c>
      <c r="K190" s="634" t="s">
        <v>802</v>
      </c>
      <c r="L190" s="82"/>
    </row>
    <row r="191" spans="5:12" ht="16.5" customHeight="1">
      <c r="E191" s="205" t="str">
        <f t="shared" si="4"/>
        <v>en</v>
      </c>
      <c r="F191" s="148" t="s">
        <v>309</v>
      </c>
      <c r="G191" s="149" t="s">
        <v>310</v>
      </c>
      <c r="H191" s="150" t="s">
        <v>311</v>
      </c>
      <c r="I191" s="151" t="s">
        <v>312</v>
      </c>
      <c r="J191" s="152" t="s">
        <v>313</v>
      </c>
      <c r="K191" s="634" t="s">
        <v>803</v>
      </c>
      <c r="L191" s="105"/>
    </row>
    <row r="192" spans="5:12" ht="20.25" customHeight="1">
      <c r="E192" s="205" t="str">
        <f t="shared" si="4"/>
        <v>Ongeldig resultaat!</v>
      </c>
      <c r="F192" s="153" t="s">
        <v>274</v>
      </c>
      <c r="G192" s="154" t="s">
        <v>276</v>
      </c>
      <c r="H192" s="155" t="s">
        <v>275</v>
      </c>
      <c r="I192" s="156" t="s">
        <v>277</v>
      </c>
      <c r="J192" s="155" t="s">
        <v>273</v>
      </c>
      <c r="K192" s="634" t="s">
        <v>804</v>
      </c>
      <c r="L192" s="83"/>
    </row>
    <row r="193" spans="5:12" ht="141.75" customHeight="1">
      <c r="E193" s="205" t="str">
        <f t="shared" si="4"/>
        <v>Hier kunnen de strafpunten voor de fair play-beoordeling worden ingevoerd.</v>
      </c>
      <c r="F193" s="157" t="s">
        <v>1872</v>
      </c>
      <c r="G193" s="158" t="s">
        <v>1873</v>
      </c>
      <c r="H193" s="159" t="s">
        <v>1874</v>
      </c>
      <c r="I193" s="160" t="s">
        <v>1875</v>
      </c>
      <c r="J193" s="159" t="s">
        <v>1876</v>
      </c>
      <c r="K193" s="634" t="s">
        <v>1877</v>
      </c>
      <c r="L193" s="123"/>
    </row>
    <row r="194" spans="5:12" ht="35.25" customHeight="1">
      <c r="E194" s="205" t="str">
        <f t="shared" si="4"/>
        <v>Klik hier en kies de tijdzone:</v>
      </c>
      <c r="F194" s="157" t="s">
        <v>286</v>
      </c>
      <c r="G194" s="158" t="s">
        <v>384</v>
      </c>
      <c r="H194" s="159" t="s">
        <v>389</v>
      </c>
      <c r="I194" s="160" t="s">
        <v>388</v>
      </c>
      <c r="J194" s="180" t="s">
        <v>382</v>
      </c>
      <c r="K194" s="634" t="s">
        <v>805</v>
      </c>
      <c r="L194" s="123"/>
    </row>
    <row r="195" spans="5:12" ht="36.75" customHeight="1">
      <c r="E195" s="205" t="str">
        <f t="shared" si="4"/>
        <v>Tijdzone van het gastland:</v>
      </c>
      <c r="F195" s="157" t="s">
        <v>397</v>
      </c>
      <c r="G195" s="158" t="s">
        <v>398</v>
      </c>
      <c r="H195" s="159" t="s">
        <v>400</v>
      </c>
      <c r="I195" s="160" t="s">
        <v>401</v>
      </c>
      <c r="J195" s="180" t="s">
        <v>399</v>
      </c>
      <c r="K195" s="634" t="s">
        <v>806</v>
      </c>
      <c r="L195" s="123"/>
    </row>
    <row r="196" spans="5:12" ht="38.25" customHeight="1">
      <c r="E196" s="205" t="str">
        <f t="shared" si="4"/>
        <v>Klik hier en kies de taal:</v>
      </c>
      <c r="F196" s="157" t="s">
        <v>113</v>
      </c>
      <c r="G196" s="158" t="s">
        <v>385</v>
      </c>
      <c r="H196" s="159" t="s">
        <v>386</v>
      </c>
      <c r="I196" s="160" t="s">
        <v>387</v>
      </c>
      <c r="J196" s="180" t="s">
        <v>383</v>
      </c>
      <c r="K196" s="634" t="s">
        <v>807</v>
      </c>
      <c r="L196" s="123"/>
    </row>
    <row r="197" spans="5:12" ht="16.5" customHeight="1">
      <c r="E197" s="205" t="str">
        <f t="shared" si="4"/>
        <v xml:space="preserve"> : </v>
      </c>
      <c r="F197" s="148" t="s">
        <v>364</v>
      </c>
      <c r="G197" s="149" t="s">
        <v>364</v>
      </c>
      <c r="H197" s="150" t="s">
        <v>364</v>
      </c>
      <c r="I197" s="151" t="s">
        <v>364</v>
      </c>
      <c r="J197" s="152" t="s">
        <v>363</v>
      </c>
      <c r="K197" s="634" t="s">
        <v>363</v>
      </c>
      <c r="L197" s="105"/>
    </row>
    <row r="198" spans="5:12" ht="96" customHeight="1">
      <c r="E198" s="205" t="str">
        <f t="shared" si="4"/>
        <v>De tijdzone moet dienovereenkomstig worden aangepast voor de zomertijd (b.v. UTC+2 in plaats van UTC+1).</v>
      </c>
      <c r="F198" s="157" t="s">
        <v>1039</v>
      </c>
      <c r="G198" s="158" t="s">
        <v>1040</v>
      </c>
      <c r="H198" s="159" t="s">
        <v>1041</v>
      </c>
      <c r="I198" s="160" t="s">
        <v>1042</v>
      </c>
      <c r="J198" s="180" t="s">
        <v>1043</v>
      </c>
      <c r="K198" s="413" t="s">
        <v>1044</v>
      </c>
      <c r="L198" s="123"/>
    </row>
    <row r="199" spans="5:12" ht="129" customHeight="1">
      <c r="E199" s="205" t="str">
        <f t="shared" si="4"/>
        <v>Een rode stip betekent dat de fair play rating of de FIFA-wereldranking de plaatsing van dit team zal bepalen</v>
      </c>
      <c r="F199" s="157" t="s">
        <v>1826</v>
      </c>
      <c r="G199" s="158" t="s">
        <v>1827</v>
      </c>
      <c r="H199" s="159" t="s">
        <v>1829</v>
      </c>
      <c r="I199" s="160" t="s">
        <v>1828</v>
      </c>
      <c r="J199" s="180" t="s">
        <v>1825</v>
      </c>
      <c r="K199" s="413" t="s">
        <v>1830</v>
      </c>
      <c r="L199" s="123"/>
    </row>
    <row r="200" spans="5:12" ht="18" customHeight="1">
      <c r="E200" s="205">
        <f t="shared" si="4"/>
        <v>0</v>
      </c>
      <c r="F200" s="157"/>
      <c r="G200" s="158"/>
      <c r="H200" s="159"/>
      <c r="I200" s="160"/>
      <c r="J200" s="180"/>
      <c r="K200" s="413"/>
      <c r="L200" s="123"/>
    </row>
    <row r="201" spans="5:12" ht="15.75" thickBot="1">
      <c r="E201" s="205">
        <f t="shared" si="4"/>
        <v>0</v>
      </c>
      <c r="F201" s="161"/>
      <c r="G201" s="162"/>
      <c r="H201" s="163"/>
      <c r="I201" s="164"/>
      <c r="J201" s="165"/>
      <c r="K201" s="629"/>
      <c r="L201" s="124"/>
    </row>
    <row r="202" spans="5:12" ht="16.5" thickTop="1" thickBot="1">
      <c r="E202" s="205"/>
      <c r="K202" s="630"/>
    </row>
    <row r="203" spans="5:12" ht="29.25" thickTop="1">
      <c r="E203" s="205"/>
      <c r="F203" s="76" t="s">
        <v>561</v>
      </c>
      <c r="G203" s="266"/>
      <c r="H203" s="266"/>
      <c r="I203" s="266"/>
      <c r="J203" s="266"/>
      <c r="K203" s="633"/>
      <c r="L203" s="267"/>
    </row>
    <row r="204" spans="5:12">
      <c r="E204" s="205" t="str">
        <f t="shared" si="4"/>
        <v>Voorspellingen</v>
      </c>
      <c r="F204" s="133" t="s">
        <v>561</v>
      </c>
      <c r="G204" s="134" t="s">
        <v>602</v>
      </c>
      <c r="H204" s="132" t="s">
        <v>601</v>
      </c>
      <c r="I204" s="135" t="s">
        <v>600</v>
      </c>
      <c r="J204" s="132" t="s">
        <v>612</v>
      </c>
      <c r="K204" s="634" t="s">
        <v>808</v>
      </c>
      <c r="L204" s="105"/>
    </row>
    <row r="205" spans="5:12">
      <c r="E205" s="205" t="str">
        <f t="shared" si="4"/>
        <v>Juiste resultaten</v>
      </c>
      <c r="F205" s="133" t="s">
        <v>562</v>
      </c>
      <c r="G205" s="134" t="s">
        <v>597</v>
      </c>
      <c r="H205" s="132" t="s">
        <v>598</v>
      </c>
      <c r="I205" s="135" t="s">
        <v>599</v>
      </c>
      <c r="J205" s="132" t="s">
        <v>565</v>
      </c>
      <c r="K205" s="634" t="s">
        <v>809</v>
      </c>
      <c r="L205" s="105"/>
    </row>
    <row r="206" spans="5:12">
      <c r="E206" s="205" t="str">
        <f t="shared" si="4"/>
        <v>Resultaten</v>
      </c>
      <c r="F206" s="133" t="s">
        <v>581</v>
      </c>
      <c r="G206" s="134" t="s">
        <v>596</v>
      </c>
      <c r="H206" s="132" t="s">
        <v>595</v>
      </c>
      <c r="I206" s="135" t="s">
        <v>594</v>
      </c>
      <c r="J206" s="132" t="s">
        <v>582</v>
      </c>
      <c r="K206" s="634" t="s">
        <v>810</v>
      </c>
      <c r="L206" s="105"/>
    </row>
    <row r="207" spans="5:12">
      <c r="E207" s="205" t="str">
        <f t="shared" si="4"/>
        <v>Punten:</v>
      </c>
      <c r="F207" s="133" t="s">
        <v>1699</v>
      </c>
      <c r="G207" s="134" t="s">
        <v>1701</v>
      </c>
      <c r="H207" s="132" t="s">
        <v>1702</v>
      </c>
      <c r="I207" s="135" t="s">
        <v>1699</v>
      </c>
      <c r="J207" s="132" t="s">
        <v>1698</v>
      </c>
      <c r="K207" s="634" t="s">
        <v>1700</v>
      </c>
      <c r="L207" s="105"/>
    </row>
    <row r="208" spans="5:12">
      <c r="E208" s="205" t="str">
        <f t="shared" si="4"/>
        <v>Totaal:</v>
      </c>
      <c r="F208" s="133" t="s">
        <v>189</v>
      </c>
      <c r="G208" s="134" t="s">
        <v>593</v>
      </c>
      <c r="H208" s="132" t="s">
        <v>592</v>
      </c>
      <c r="I208" s="135" t="s">
        <v>593</v>
      </c>
      <c r="J208" s="132" t="s">
        <v>586</v>
      </c>
      <c r="K208" s="634" t="s">
        <v>811</v>
      </c>
      <c r="L208" s="105"/>
    </row>
    <row r="209" spans="5:12">
      <c r="E209" s="205" t="str">
        <f t="shared" si="4"/>
        <v>Result.</v>
      </c>
      <c r="F209" s="133" t="s">
        <v>581</v>
      </c>
      <c r="G209" s="134" t="s">
        <v>659</v>
      </c>
      <c r="H209" s="132" t="s">
        <v>658</v>
      </c>
      <c r="I209" s="135" t="s">
        <v>657</v>
      </c>
      <c r="J209" s="132" t="s">
        <v>582</v>
      </c>
      <c r="K209" s="634" t="s">
        <v>659</v>
      </c>
      <c r="L209" s="105"/>
    </row>
    <row r="210" spans="5:12">
      <c r="E210" s="205" t="str">
        <f t="shared" si="4"/>
        <v>W/G/V</v>
      </c>
      <c r="F210" s="133" t="s">
        <v>653</v>
      </c>
      <c r="G210" s="134" t="s">
        <v>654</v>
      </c>
      <c r="H210" s="132" t="s">
        <v>655</v>
      </c>
      <c r="I210" s="135" t="s">
        <v>656</v>
      </c>
      <c r="J210" s="132" t="s">
        <v>652</v>
      </c>
      <c r="K210" s="634" t="s">
        <v>812</v>
      </c>
      <c r="L210" s="105"/>
    </row>
    <row r="211" spans="5:12">
      <c r="E211" s="205" t="str">
        <f t="shared" si="4"/>
        <v>DS</v>
      </c>
      <c r="F211" s="133" t="s">
        <v>190</v>
      </c>
      <c r="G211" s="134" t="s">
        <v>662</v>
      </c>
      <c r="H211" s="132" t="s">
        <v>660</v>
      </c>
      <c r="I211" s="135" t="s">
        <v>661</v>
      </c>
      <c r="J211" s="132" t="s">
        <v>663</v>
      </c>
      <c r="K211" s="634" t="s">
        <v>838</v>
      </c>
      <c r="L211" s="105"/>
    </row>
    <row r="212" spans="5:12">
      <c r="E212" s="205" t="str">
        <f t="shared" si="4"/>
        <v>exact</v>
      </c>
      <c r="F212" s="133" t="s">
        <v>584</v>
      </c>
      <c r="G212" s="134" t="s">
        <v>587</v>
      </c>
      <c r="H212" s="132" t="s">
        <v>588</v>
      </c>
      <c r="I212" s="135" t="s">
        <v>587</v>
      </c>
      <c r="J212" s="132" t="s">
        <v>583</v>
      </c>
      <c r="K212" s="634" t="s">
        <v>584</v>
      </c>
      <c r="L212" s="105"/>
    </row>
    <row r="213" spans="5:12">
      <c r="E213" s="205" t="str">
        <f t="shared" si="4"/>
        <v>teams</v>
      </c>
      <c r="F213" s="133" t="s">
        <v>585</v>
      </c>
      <c r="G213" s="134" t="s">
        <v>589</v>
      </c>
      <c r="H213" s="132" t="s">
        <v>590</v>
      </c>
      <c r="I213" s="135" t="s">
        <v>591</v>
      </c>
      <c r="J213" s="132" t="s">
        <v>307</v>
      </c>
      <c r="K213" s="634" t="s">
        <v>585</v>
      </c>
      <c r="L213" s="105"/>
    </row>
    <row r="214" spans="5:12">
      <c r="E214" s="205" t="str">
        <f t="shared" ref="E214" si="5">IF($C$3,F214,IF($C$4,G214,IF($C$5,H214,IF($C$6,I214,IF($C$7,J214,IF($C$8,K214,IF(L214&lt;&gt;"",L214,F214)))))))</f>
        <v>Zestiende finale</v>
      </c>
      <c r="F214" s="133" t="s">
        <v>897</v>
      </c>
      <c r="G214" s="134" t="s">
        <v>898</v>
      </c>
      <c r="H214" s="132" t="s">
        <v>900</v>
      </c>
      <c r="I214" s="135" t="s">
        <v>901</v>
      </c>
      <c r="J214" s="132" t="s">
        <v>896</v>
      </c>
      <c r="K214" s="634" t="s">
        <v>899</v>
      </c>
      <c r="L214" s="105"/>
    </row>
    <row r="215" spans="5:12">
      <c r="E215" s="205" t="str">
        <f t="shared" ref="E215:E247" si="6">IF($C$3,F215,IF($C$4,G215,IF($C$5,H215,IF($C$6,I215,IF($C$7,J215,IF($C$8,K215,IF(L215&lt;&gt;"",L215,F215)))))))</f>
        <v>Achtste finale</v>
      </c>
      <c r="F215" s="133" t="s">
        <v>566</v>
      </c>
      <c r="G215" s="134" t="s">
        <v>567</v>
      </c>
      <c r="H215" s="132" t="s">
        <v>568</v>
      </c>
      <c r="I215" s="135" t="s">
        <v>569</v>
      </c>
      <c r="J215" s="132" t="s">
        <v>570</v>
      </c>
      <c r="K215" s="634" t="s">
        <v>813</v>
      </c>
      <c r="L215" s="105"/>
    </row>
    <row r="216" spans="5:12">
      <c r="E216" s="205" t="str">
        <f t="shared" si="6"/>
        <v>Kwart finale</v>
      </c>
      <c r="F216" s="177" t="s">
        <v>571</v>
      </c>
      <c r="G216" s="134" t="s">
        <v>572</v>
      </c>
      <c r="H216" s="132" t="s">
        <v>573</v>
      </c>
      <c r="I216" s="135" t="s">
        <v>574</v>
      </c>
      <c r="J216" s="132" t="s">
        <v>575</v>
      </c>
      <c r="K216" s="634" t="s">
        <v>814</v>
      </c>
      <c r="L216" s="105"/>
    </row>
    <row r="217" spans="5:12">
      <c r="E217" s="205" t="str">
        <f t="shared" si="6"/>
        <v>Halve finale</v>
      </c>
      <c r="F217" s="133" t="s">
        <v>576</v>
      </c>
      <c r="G217" s="134" t="s">
        <v>577</v>
      </c>
      <c r="H217" s="132" t="s">
        <v>578</v>
      </c>
      <c r="I217" s="135" t="s">
        <v>579</v>
      </c>
      <c r="J217" s="132" t="s">
        <v>580</v>
      </c>
      <c r="K217" s="634" t="s">
        <v>815</v>
      </c>
      <c r="L217" s="105"/>
    </row>
    <row r="218" spans="5:12">
      <c r="E218" s="205" t="str">
        <f t="shared" si="6"/>
        <v>Derde plaats</v>
      </c>
      <c r="F218" s="133" t="s">
        <v>152</v>
      </c>
      <c r="G218" s="134" t="s">
        <v>394</v>
      </c>
      <c r="H218" s="132" t="s">
        <v>395</v>
      </c>
      <c r="I218" s="135" t="s">
        <v>243</v>
      </c>
      <c r="J218" s="132" t="s">
        <v>167</v>
      </c>
      <c r="K218" s="634" t="s">
        <v>799</v>
      </c>
      <c r="L218" s="105"/>
    </row>
    <row r="219" spans="5:12">
      <c r="E219" s="205" t="str">
        <f t="shared" si="6"/>
        <v>Finale</v>
      </c>
      <c r="F219" s="133" t="s">
        <v>55</v>
      </c>
      <c r="G219" s="134" t="s">
        <v>55</v>
      </c>
      <c r="H219" s="132" t="s">
        <v>168</v>
      </c>
      <c r="I219" s="135" t="s">
        <v>55</v>
      </c>
      <c r="J219" s="132" t="s">
        <v>168</v>
      </c>
      <c r="K219" s="634" t="s">
        <v>168</v>
      </c>
      <c r="L219" s="105"/>
    </row>
    <row r="220" spans="5:12">
      <c r="E220" s="205" t="str">
        <f t="shared" si="6"/>
        <v>Wereldkampioen</v>
      </c>
      <c r="F220" s="209" t="s">
        <v>1013</v>
      </c>
      <c r="G220" s="131" t="s">
        <v>1014</v>
      </c>
      <c r="H220" s="210" t="s">
        <v>1015</v>
      </c>
      <c r="I220" s="211" t="s">
        <v>1016</v>
      </c>
      <c r="J220" s="210" t="s">
        <v>1017</v>
      </c>
      <c r="K220" s="634" t="s">
        <v>1018</v>
      </c>
      <c r="L220" s="287"/>
    </row>
    <row r="221" spans="5:12">
      <c r="E221" s="205" t="str">
        <f t="shared" si="6"/>
        <v>Opmerking:</v>
      </c>
      <c r="F221" s="209" t="s">
        <v>603</v>
      </c>
      <c r="G221" s="131" t="s">
        <v>605</v>
      </c>
      <c r="H221" s="210" t="s">
        <v>606</v>
      </c>
      <c r="I221" s="211" t="s">
        <v>607</v>
      </c>
      <c r="J221" s="210" t="s">
        <v>604</v>
      </c>
      <c r="K221" s="634" t="s">
        <v>816</v>
      </c>
      <c r="L221" s="287"/>
    </row>
    <row r="222" spans="5:12">
      <c r="E222" s="205" t="str">
        <f t="shared" si="6"/>
        <v>Factoren</v>
      </c>
      <c r="F222" s="209" t="s">
        <v>557</v>
      </c>
      <c r="G222" s="131" t="s">
        <v>611</v>
      </c>
      <c r="H222" s="210" t="s">
        <v>610</v>
      </c>
      <c r="I222" s="211" t="s">
        <v>609</v>
      </c>
      <c r="J222" s="210" t="s">
        <v>608</v>
      </c>
      <c r="K222" s="634" t="s">
        <v>817</v>
      </c>
      <c r="L222" s="287"/>
    </row>
    <row r="223" spans="5:12">
      <c r="E223" s="205" t="str">
        <f t="shared" si="6"/>
        <v>Instellingen</v>
      </c>
      <c r="F223" s="209" t="s">
        <v>669</v>
      </c>
      <c r="G223" s="131" t="s">
        <v>671</v>
      </c>
      <c r="H223" s="210" t="s">
        <v>672</v>
      </c>
      <c r="I223" s="211" t="s">
        <v>673</v>
      </c>
      <c r="J223" s="210" t="s">
        <v>670</v>
      </c>
      <c r="K223" s="634" t="s">
        <v>818</v>
      </c>
      <c r="L223" s="287"/>
    </row>
    <row r="224" spans="5:12">
      <c r="E224" s="205" t="str">
        <f t="shared" si="6"/>
        <v>grote aant.</v>
      </c>
      <c r="F224" s="133" t="s">
        <v>668</v>
      </c>
      <c r="G224" s="134" t="s">
        <v>667</v>
      </c>
      <c r="H224" s="132" t="s">
        <v>664</v>
      </c>
      <c r="I224" s="135" t="s">
        <v>665</v>
      </c>
      <c r="J224" s="132" t="s">
        <v>666</v>
      </c>
      <c r="K224" s="634" t="s">
        <v>819</v>
      </c>
      <c r="L224" s="287"/>
    </row>
    <row r="225" spans="5:12" ht="31.5" customHeight="1">
      <c r="E225" s="205" t="str">
        <f t="shared" si="6"/>
        <v>Gewonnen/Gelijkspel/Verloren:</v>
      </c>
      <c r="F225" s="157" t="s">
        <v>703</v>
      </c>
      <c r="G225" s="158" t="s">
        <v>702</v>
      </c>
      <c r="H225" s="159" t="s">
        <v>701</v>
      </c>
      <c r="I225" s="160" t="s">
        <v>700</v>
      </c>
      <c r="J225" s="159" t="s">
        <v>699</v>
      </c>
      <c r="K225" s="634" t="s">
        <v>820</v>
      </c>
      <c r="L225" s="123"/>
    </row>
    <row r="226" spans="5:12" ht="15" customHeight="1">
      <c r="E226" s="205" t="str">
        <f t="shared" si="6"/>
        <v>verschil in doelpunten</v>
      </c>
      <c r="F226" s="157" t="s">
        <v>628</v>
      </c>
      <c r="G226" s="158" t="s">
        <v>629</v>
      </c>
      <c r="H226" s="159" t="s">
        <v>630</v>
      </c>
      <c r="I226" s="160" t="s">
        <v>631</v>
      </c>
      <c r="J226" s="159" t="s">
        <v>632</v>
      </c>
      <c r="K226" s="634" t="s">
        <v>821</v>
      </c>
      <c r="L226" s="123"/>
    </row>
    <row r="227" spans="5:12" ht="46.5" customHeight="1">
      <c r="E227" s="205" t="str">
        <f t="shared" si="6"/>
        <v>Veel doelpunten - goede voorspelling</v>
      </c>
      <c r="F227" s="157" t="s">
        <v>706</v>
      </c>
      <c r="G227" s="158" t="s">
        <v>707</v>
      </c>
      <c r="H227" s="159" t="s">
        <v>708</v>
      </c>
      <c r="I227" s="160" t="s">
        <v>704</v>
      </c>
      <c r="J227" s="159" t="s">
        <v>705</v>
      </c>
      <c r="K227" s="634" t="s">
        <v>822</v>
      </c>
      <c r="L227" s="123"/>
    </row>
    <row r="228" spans="5:12" ht="15" customHeight="1">
      <c r="E228" s="205" t="str">
        <f t="shared" si="6"/>
        <v>exact aantal doelpunten</v>
      </c>
      <c r="F228" s="157" t="s">
        <v>637</v>
      </c>
      <c r="G228" s="158" t="s">
        <v>636</v>
      </c>
      <c r="H228" s="159" t="s">
        <v>635</v>
      </c>
      <c r="I228" s="160" t="s">
        <v>634</v>
      </c>
      <c r="J228" s="159" t="s">
        <v>633</v>
      </c>
      <c r="K228" s="634" t="s">
        <v>823</v>
      </c>
      <c r="L228" s="123"/>
    </row>
    <row r="229" spans="5:12" ht="35.25" customHeight="1">
      <c r="E229" s="205" t="str">
        <f t="shared" si="6"/>
        <v>juiste voorspelling van team dat achtste finales bereikt</v>
      </c>
      <c r="F229" s="157" t="s">
        <v>717</v>
      </c>
      <c r="G229" s="158" t="s">
        <v>716</v>
      </c>
      <c r="H229" s="159" t="s">
        <v>718</v>
      </c>
      <c r="I229" s="160" t="s">
        <v>715</v>
      </c>
      <c r="J229" s="159" t="s">
        <v>714</v>
      </c>
      <c r="K229" s="634" t="s">
        <v>824</v>
      </c>
      <c r="L229" s="123"/>
    </row>
    <row r="230" spans="5:12" ht="137.25" customHeight="1">
      <c r="E230" s="205" t="str">
        <f t="shared" si="6"/>
        <v>Als u bijvoorbeeld nog tien mensen wilt toevoegen, selecteert u de kolommen HI tot en met MG en kopieert u deze naar rechts. Afgerond. (Bladbescherming verwijderen!)</v>
      </c>
      <c r="F230" s="157" t="s">
        <v>902</v>
      </c>
      <c r="G230" s="158" t="s">
        <v>903</v>
      </c>
      <c r="H230" s="159" t="s">
        <v>904</v>
      </c>
      <c r="I230" s="160" t="s">
        <v>905</v>
      </c>
      <c r="J230" s="159" t="s">
        <v>906</v>
      </c>
      <c r="K230" s="634" t="s">
        <v>907</v>
      </c>
      <c r="L230" s="123"/>
    </row>
    <row r="231" spans="5:12" ht="94.5" customHeight="1">
      <c r="E231" s="205" t="str">
        <f t="shared" si="6"/>
        <v>Om de teams te voorspellen die de achtste finales halen, plaats de teamnummers in de gele cellen.</v>
      </c>
      <c r="F231" s="157" t="s">
        <v>651</v>
      </c>
      <c r="G231" s="158" t="s">
        <v>650</v>
      </c>
      <c r="H231" s="159" t="s">
        <v>649</v>
      </c>
      <c r="I231" s="160" t="s">
        <v>648</v>
      </c>
      <c r="J231" s="159" t="s">
        <v>647</v>
      </c>
      <c r="K231" s="634" t="s">
        <v>825</v>
      </c>
      <c r="L231" s="123"/>
    </row>
    <row r="232" spans="5:12" ht="109.5" customHeight="1">
      <c r="E232" s="205" t="str">
        <f t="shared" si="6"/>
        <v>De factoren voor de individuele categorieën en andere instellingen vóóraf kunnen opgevoerd worden op het tabblad: 'Prsettings'.</v>
      </c>
      <c r="F232" s="157" t="s">
        <v>712</v>
      </c>
      <c r="G232" s="158" t="s">
        <v>711</v>
      </c>
      <c r="H232" s="159" t="s">
        <v>710</v>
      </c>
      <c r="I232" s="160" t="s">
        <v>713</v>
      </c>
      <c r="J232" s="159" t="s">
        <v>709</v>
      </c>
      <c r="K232" s="634" t="s">
        <v>826</v>
      </c>
      <c r="L232" s="123"/>
    </row>
    <row r="233" spans="5:12">
      <c r="E233" s="205" t="str">
        <f t="shared" si="6"/>
        <v>Toegang tot de data</v>
      </c>
      <c r="F233" s="288" t="s">
        <v>613</v>
      </c>
      <c r="G233" s="289" t="s">
        <v>615</v>
      </c>
      <c r="H233" s="290" t="s">
        <v>616</v>
      </c>
      <c r="I233" s="291" t="s">
        <v>617</v>
      </c>
      <c r="J233" s="290" t="s">
        <v>614</v>
      </c>
      <c r="K233" s="634" t="s">
        <v>827</v>
      </c>
      <c r="L233" s="292"/>
    </row>
    <row r="234" spans="5:12">
      <c r="E234" s="205" t="str">
        <f t="shared" si="6"/>
        <v>Tabblad</v>
      </c>
      <c r="F234" s="157" t="s">
        <v>619</v>
      </c>
      <c r="G234" s="158" t="s">
        <v>621</v>
      </c>
      <c r="H234" s="159" t="s">
        <v>622</v>
      </c>
      <c r="I234" s="160" t="s">
        <v>620</v>
      </c>
      <c r="J234" s="159" t="s">
        <v>618</v>
      </c>
      <c r="K234" s="634" t="s">
        <v>828</v>
      </c>
      <c r="L234" s="123"/>
    </row>
    <row r="235" spans="5:12" ht="38.25" customHeight="1">
      <c r="E235" s="205" t="str">
        <f t="shared" si="6"/>
        <v>Finale/derde plaats winnaar:</v>
      </c>
      <c r="F235" s="302" t="s">
        <v>623</v>
      </c>
      <c r="G235" s="303" t="s">
        <v>624</v>
      </c>
      <c r="H235" s="304" t="s">
        <v>625</v>
      </c>
      <c r="I235" s="305" t="s">
        <v>626</v>
      </c>
      <c r="J235" s="304" t="s">
        <v>627</v>
      </c>
      <c r="K235" s="634" t="s">
        <v>829</v>
      </c>
      <c r="L235" s="306"/>
    </row>
    <row r="236" spans="5:12" ht="45">
      <c r="E236" s="205" t="str">
        <f t="shared" si="6"/>
        <v>Punten voor verschil in doelpunten bij een gelijkspel:</v>
      </c>
      <c r="F236" s="288" t="s">
        <v>676</v>
      </c>
      <c r="G236" s="289" t="s">
        <v>677</v>
      </c>
      <c r="H236" s="290" t="s">
        <v>678</v>
      </c>
      <c r="I236" s="291" t="s">
        <v>675</v>
      </c>
      <c r="J236" s="290" t="s">
        <v>674</v>
      </c>
      <c r="K236" s="634" t="s">
        <v>830</v>
      </c>
      <c r="L236" s="292"/>
    </row>
    <row r="237" spans="5:12">
      <c r="E237" s="205" t="str">
        <f t="shared" si="6"/>
        <v>ja</v>
      </c>
      <c r="F237" s="288" t="s">
        <v>681</v>
      </c>
      <c r="G237" s="289" t="s">
        <v>684</v>
      </c>
      <c r="H237" s="290" t="s">
        <v>683</v>
      </c>
      <c r="I237" s="291" t="s">
        <v>685</v>
      </c>
      <c r="J237" s="290" t="s">
        <v>679</v>
      </c>
      <c r="K237" s="634" t="s">
        <v>679</v>
      </c>
      <c r="L237" s="292"/>
    </row>
    <row r="238" spans="5:12">
      <c r="E238" s="205" t="str">
        <f t="shared" si="6"/>
        <v>nee</v>
      </c>
      <c r="F238" s="288" t="s">
        <v>682</v>
      </c>
      <c r="G238" s="289" t="s">
        <v>682</v>
      </c>
      <c r="H238" s="290" t="s">
        <v>682</v>
      </c>
      <c r="I238" s="291" t="s">
        <v>686</v>
      </c>
      <c r="J238" s="290" t="s">
        <v>680</v>
      </c>
      <c r="K238" s="634" t="s">
        <v>831</v>
      </c>
      <c r="L238" s="292"/>
    </row>
    <row r="239" spans="5:12" ht="51" customHeight="1">
      <c r="E239" s="205" t="str">
        <f t="shared" si="6"/>
        <v>min. aantal goals voor de keuze: 'veel doelpunten' (bij gelijkspel):</v>
      </c>
      <c r="F239" s="157" t="s">
        <v>687</v>
      </c>
      <c r="G239" s="158" t="s">
        <v>688</v>
      </c>
      <c r="H239" s="159" t="s">
        <v>689</v>
      </c>
      <c r="I239" s="160" t="s">
        <v>696</v>
      </c>
      <c r="J239" s="159" t="s">
        <v>690</v>
      </c>
      <c r="K239" s="634" t="s">
        <v>832</v>
      </c>
      <c r="L239" s="123"/>
    </row>
    <row r="240" spans="5:12" ht="60">
      <c r="E240" s="205" t="str">
        <f t="shared" si="6"/>
        <v>min. aantal goals voor de keuze: 'groot verschil in doelpunten':</v>
      </c>
      <c r="F240" s="157" t="s">
        <v>695</v>
      </c>
      <c r="G240" s="158" t="s">
        <v>694</v>
      </c>
      <c r="H240" s="159" t="s">
        <v>693</v>
      </c>
      <c r="I240" s="160" t="s">
        <v>692</v>
      </c>
      <c r="J240" s="159" t="s">
        <v>691</v>
      </c>
      <c r="K240" s="634" t="s">
        <v>833</v>
      </c>
      <c r="L240" s="123"/>
    </row>
    <row r="241" spans="5:12" ht="409.5">
      <c r="E241" s="205" t="str">
        <f t="shared" si="6"/>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F241" s="157" t="s">
        <v>735</v>
      </c>
      <c r="G241" s="158" t="s">
        <v>738</v>
      </c>
      <c r="H241" s="159" t="s">
        <v>736</v>
      </c>
      <c r="I241" s="160" t="s">
        <v>737</v>
      </c>
      <c r="J241" s="159" t="s">
        <v>734</v>
      </c>
      <c r="K241" s="634" t="s">
        <v>834</v>
      </c>
      <c r="L241" s="123"/>
    </row>
    <row r="242" spans="5:12" ht="258.75" customHeight="1">
      <c r="E242" s="205" t="str">
        <f t="shared" si="6"/>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F242" s="157" t="s">
        <v>721</v>
      </c>
      <c r="G242" s="158" t="s">
        <v>722</v>
      </c>
      <c r="H242" s="159" t="s">
        <v>723</v>
      </c>
      <c r="I242" s="160" t="s">
        <v>720</v>
      </c>
      <c r="J242" s="159" t="s">
        <v>719</v>
      </c>
      <c r="K242" s="634" t="s">
        <v>835</v>
      </c>
      <c r="L242" s="123"/>
    </row>
    <row r="243" spans="5:12" ht="47.25" customHeight="1">
      <c r="E243" s="205" t="str">
        <f t="shared" si="6"/>
        <v>Hoeveel doelpunten worden minimaal bedoeld bij de keuze: 'veel doelpunten'?</v>
      </c>
      <c r="F243" s="157" t="s">
        <v>724</v>
      </c>
      <c r="G243" s="158" t="s">
        <v>725</v>
      </c>
      <c r="H243" s="159" t="s">
        <v>726</v>
      </c>
      <c r="I243" s="160" t="s">
        <v>727</v>
      </c>
      <c r="J243" s="159" t="s">
        <v>728</v>
      </c>
      <c r="K243" s="634" t="s">
        <v>836</v>
      </c>
      <c r="L243" s="123"/>
    </row>
    <row r="244" spans="5:12" ht="242.25" customHeight="1">
      <c r="E244" s="205" t="str">
        <f t="shared" si="6"/>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F244" s="157" t="s">
        <v>729</v>
      </c>
      <c r="G244" s="158" t="s">
        <v>732</v>
      </c>
      <c r="H244" s="159" t="s">
        <v>730</v>
      </c>
      <c r="I244" s="160" t="s">
        <v>731</v>
      </c>
      <c r="J244" s="159" t="s">
        <v>733</v>
      </c>
      <c r="K244" s="634" t="s">
        <v>837</v>
      </c>
      <c r="L244" s="123"/>
    </row>
    <row r="245" spans="5:12" ht="18.75" customHeight="1">
      <c r="E245" s="205" t="str">
        <f t="shared" si="6"/>
        <v>Nummer:</v>
      </c>
      <c r="F245" s="133" t="s">
        <v>1693</v>
      </c>
      <c r="G245" s="134" t="s">
        <v>1696</v>
      </c>
      <c r="H245" s="132" t="s">
        <v>1695</v>
      </c>
      <c r="I245" s="135" t="s">
        <v>1694</v>
      </c>
      <c r="J245" s="132" t="s">
        <v>1692</v>
      </c>
      <c r="K245" s="634" t="s">
        <v>1697</v>
      </c>
      <c r="L245" s="105"/>
    </row>
    <row r="246" spans="5:12" ht="47.25" customHeight="1">
      <c r="E246" s="205">
        <f t="shared" si="6"/>
        <v>0</v>
      </c>
      <c r="F246" s="157"/>
      <c r="G246" s="158"/>
      <c r="H246" s="159"/>
      <c r="I246" s="160"/>
      <c r="J246" s="159"/>
      <c r="K246" s="628"/>
      <c r="L246" s="123"/>
    </row>
    <row r="247" spans="5:12" ht="15.75" thickBot="1">
      <c r="E247" s="205">
        <f t="shared" si="6"/>
        <v>0</v>
      </c>
      <c r="F247" s="282"/>
      <c r="G247" s="283"/>
      <c r="H247" s="284"/>
      <c r="I247" s="285"/>
      <c r="J247" s="284"/>
      <c r="K247" s="636"/>
      <c r="L247" s="286"/>
    </row>
    <row r="248" spans="5:12" ht="16.5" thickTop="1" thickBot="1">
      <c r="K248" s="75"/>
    </row>
    <row r="249" spans="5:12" ht="29.25" thickTop="1">
      <c r="E249" s="205"/>
      <c r="F249" s="76" t="s">
        <v>1645</v>
      </c>
      <c r="G249" s="266"/>
      <c r="H249" s="266"/>
      <c r="I249" s="266"/>
      <c r="J249" s="266"/>
      <c r="K249" s="633"/>
      <c r="L249" s="267"/>
    </row>
    <row r="250" spans="5:12">
      <c r="E250" s="205" t="str">
        <f t="shared" ref="E250:E261" si="7">IF($C$3,F250,IF($C$4,G250,IF($C$5,H250,IF($C$6,I250,IF($C$7,J250,IF($C$8,K250,IF(L250&lt;&gt;"",L250,F250)))))))</f>
        <v>Dagelijkse planning</v>
      </c>
      <c r="F250" s="133" t="s">
        <v>1645</v>
      </c>
      <c r="G250" s="134" t="s">
        <v>1646</v>
      </c>
      <c r="H250" s="132" t="s">
        <v>1647</v>
      </c>
      <c r="I250" s="135" t="s">
        <v>1648</v>
      </c>
      <c r="J250" s="132" t="s">
        <v>1649</v>
      </c>
      <c r="K250" s="634" t="s">
        <v>1650</v>
      </c>
      <c r="L250" s="105"/>
    </row>
    <row r="251" spans="5:12">
      <c r="E251" s="205" t="str">
        <f t="shared" si="7"/>
        <v>Spel nr</v>
      </c>
      <c r="F251" s="133" t="s">
        <v>393</v>
      </c>
      <c r="G251" s="134" t="s">
        <v>1651</v>
      </c>
      <c r="H251" s="132" t="s">
        <v>1652</v>
      </c>
      <c r="I251" s="135" t="s">
        <v>1653</v>
      </c>
      <c r="J251" s="132" t="s">
        <v>1654</v>
      </c>
      <c r="K251" s="634" t="s">
        <v>1655</v>
      </c>
      <c r="L251" s="105"/>
    </row>
    <row r="252" spans="5:12">
      <c r="E252" s="205" t="str">
        <f t="shared" si="7"/>
        <v>Teams</v>
      </c>
      <c r="F252" s="133" t="s">
        <v>307</v>
      </c>
      <c r="G252" s="134" t="s">
        <v>1656</v>
      </c>
      <c r="H252" s="132" t="s">
        <v>1657</v>
      </c>
      <c r="I252" s="135" t="s">
        <v>1658</v>
      </c>
      <c r="J252" s="132" t="s">
        <v>307</v>
      </c>
      <c r="K252" s="634" t="s">
        <v>307</v>
      </c>
      <c r="L252" s="105"/>
    </row>
    <row r="253" spans="5:12">
      <c r="E253" s="205" t="str">
        <f t="shared" si="7"/>
        <v>Tijd</v>
      </c>
      <c r="F253" s="133" t="s">
        <v>1659</v>
      </c>
      <c r="G253" s="134" t="s">
        <v>1660</v>
      </c>
      <c r="H253" s="132" t="s">
        <v>1661</v>
      </c>
      <c r="I253" s="135" t="s">
        <v>1662</v>
      </c>
      <c r="J253" s="132" t="s">
        <v>1663</v>
      </c>
      <c r="K253" s="634" t="s">
        <v>1664</v>
      </c>
      <c r="L253" s="105"/>
    </row>
    <row r="254" spans="5:12">
      <c r="E254" s="205" t="str">
        <f t="shared" si="7"/>
        <v>Team 1</v>
      </c>
      <c r="F254" s="133" t="s">
        <v>284</v>
      </c>
      <c r="G254" s="134" t="s">
        <v>1665</v>
      </c>
      <c r="H254" s="132" t="s">
        <v>1666</v>
      </c>
      <c r="I254" s="135" t="s">
        <v>1667</v>
      </c>
      <c r="J254" s="132" t="s">
        <v>284</v>
      </c>
      <c r="K254" s="634" t="s">
        <v>284</v>
      </c>
      <c r="L254" s="105"/>
    </row>
    <row r="255" spans="5:12">
      <c r="E255" s="205" t="str">
        <f t="shared" si="7"/>
        <v>Team 2</v>
      </c>
      <c r="F255" s="133" t="s">
        <v>285</v>
      </c>
      <c r="G255" s="134" t="s">
        <v>1668</v>
      </c>
      <c r="H255" s="132" t="s">
        <v>1669</v>
      </c>
      <c r="I255" s="135" t="s">
        <v>1670</v>
      </c>
      <c r="J255" s="132" t="s">
        <v>285</v>
      </c>
      <c r="K255" s="634" t="s">
        <v>285</v>
      </c>
      <c r="L255" s="105"/>
    </row>
    <row r="256" spans="5:12">
      <c r="E256" s="205" t="str">
        <f t="shared" si="7"/>
        <v>ronde van 32</v>
      </c>
      <c r="F256" s="133" t="s">
        <v>897</v>
      </c>
      <c r="G256" s="134" t="s">
        <v>1688</v>
      </c>
      <c r="H256" s="132" t="s">
        <v>900</v>
      </c>
      <c r="I256" s="135" t="s">
        <v>1689</v>
      </c>
      <c r="J256" s="132" t="s">
        <v>896</v>
      </c>
      <c r="K256" s="628" t="s">
        <v>1690</v>
      </c>
      <c r="L256" s="73"/>
    </row>
    <row r="257" spans="5:12">
      <c r="E257" s="205" t="str">
        <f t="shared" si="7"/>
        <v>Achtste finale</v>
      </c>
      <c r="F257" s="133" t="s">
        <v>566</v>
      </c>
      <c r="G257" s="134" t="s">
        <v>567</v>
      </c>
      <c r="H257" s="132" t="s">
        <v>568</v>
      </c>
      <c r="I257" s="135" t="s">
        <v>1671</v>
      </c>
      <c r="J257" s="132" t="s">
        <v>570</v>
      </c>
      <c r="K257" s="628" t="s">
        <v>813</v>
      </c>
      <c r="L257" s="105"/>
    </row>
    <row r="258" spans="5:12">
      <c r="E258" s="205" t="str">
        <f t="shared" si="7"/>
        <v>Kwart finale</v>
      </c>
      <c r="F258" s="177" t="s">
        <v>571</v>
      </c>
      <c r="G258" s="134" t="s">
        <v>572</v>
      </c>
      <c r="H258" s="132" t="s">
        <v>573</v>
      </c>
      <c r="I258" s="135" t="s">
        <v>574</v>
      </c>
      <c r="J258" s="132" t="s">
        <v>575</v>
      </c>
      <c r="K258" s="628" t="s">
        <v>814</v>
      </c>
      <c r="L258" s="105"/>
    </row>
    <row r="259" spans="5:12">
      <c r="E259" s="205" t="str">
        <f t="shared" si="7"/>
        <v>Halve finale</v>
      </c>
      <c r="F259" s="133" t="s">
        <v>576</v>
      </c>
      <c r="G259" s="134" t="s">
        <v>577</v>
      </c>
      <c r="H259" s="132" t="s">
        <v>578</v>
      </c>
      <c r="I259" s="135" t="s">
        <v>579</v>
      </c>
      <c r="J259" s="132" t="s">
        <v>580</v>
      </c>
      <c r="K259" s="628" t="s">
        <v>815</v>
      </c>
      <c r="L259" s="105"/>
    </row>
    <row r="260" spans="5:12">
      <c r="E260" s="205" t="str">
        <f t="shared" si="7"/>
        <v>Datum</v>
      </c>
      <c r="F260" s="133" t="s">
        <v>1672</v>
      </c>
      <c r="G260" s="134" t="s">
        <v>1673</v>
      </c>
      <c r="H260" s="132" t="s">
        <v>1674</v>
      </c>
      <c r="I260" s="135" t="s">
        <v>1672</v>
      </c>
      <c r="J260" s="132" t="s">
        <v>1675</v>
      </c>
      <c r="K260" s="634" t="s">
        <v>1675</v>
      </c>
      <c r="L260" s="105"/>
    </row>
    <row r="261" spans="5:12">
      <c r="E261" s="205" t="str">
        <f t="shared" si="7"/>
        <v>Kleur de favorieten</v>
      </c>
      <c r="F261" s="133" t="s">
        <v>1676</v>
      </c>
      <c r="G261" s="134" t="s">
        <v>1677</v>
      </c>
      <c r="H261" s="132" t="s">
        <v>1678</v>
      </c>
      <c r="I261" s="135" t="s">
        <v>1679</v>
      </c>
      <c r="J261" s="132" t="s">
        <v>1680</v>
      </c>
      <c r="K261" s="634" t="s">
        <v>1681</v>
      </c>
      <c r="L261" s="105"/>
    </row>
    <row r="262" spans="5:12" ht="30">
      <c r="E262" s="205" t="str">
        <f>IF($C$3,F262,IF($C$4,G262,IF($C$5,H262,IF($C$6,I262,IF($C$7,J262,IF($C$8,K262,IF(L262&lt;&gt;"",L262,F262)))))))</f>
        <v>Vul hier de groepscode in</v>
      </c>
      <c r="F262" s="580" t="s">
        <v>1682</v>
      </c>
      <c r="G262" s="581" t="s">
        <v>1683</v>
      </c>
      <c r="H262" s="582" t="s">
        <v>1684</v>
      </c>
      <c r="I262" s="583" t="s">
        <v>1685</v>
      </c>
      <c r="J262" s="582" t="s">
        <v>1686</v>
      </c>
      <c r="K262" s="634" t="s">
        <v>1687</v>
      </c>
      <c r="L262" s="105"/>
    </row>
    <row r="263" spans="5:12" ht="15.75" thickBot="1">
      <c r="E263" s="205">
        <f>IF($C$3,F263,IF($C$4,G263,IF($C$5,H263,IF($C$6,I263,IF($C$7,J263,IF($C$8,K263,IF(L263&lt;&gt;"",L263,F263)))))))</f>
        <v>0</v>
      </c>
      <c r="F263" s="136"/>
      <c r="G263" s="137"/>
      <c r="H263" s="138"/>
      <c r="I263" s="139"/>
      <c r="J263" s="138"/>
      <c r="K263" s="637"/>
      <c r="L263" s="124"/>
    </row>
    <row r="264" spans="5:12" ht="15.75" thickTop="1"/>
  </sheetData>
  <sheetProtection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48" priority="12">
      <formula>$C$3</formula>
    </cfRule>
  </conditionalFormatting>
  <conditionalFormatting sqref="G3:G4">
    <cfRule type="expression" dxfId="47" priority="11">
      <formula>$C$4</formula>
    </cfRule>
  </conditionalFormatting>
  <conditionalFormatting sqref="D3:D4">
    <cfRule type="expression" dxfId="46" priority="396">
      <formula>#REF!</formula>
    </cfRule>
  </conditionalFormatting>
  <conditionalFormatting sqref="H3:H4">
    <cfRule type="expression" dxfId="45" priority="397">
      <formula>$C$5</formula>
    </cfRule>
  </conditionalFormatting>
  <conditionalFormatting sqref="I3:I4">
    <cfRule type="expression" dxfId="44" priority="398">
      <formula>$C$6</formula>
    </cfRule>
  </conditionalFormatting>
  <conditionalFormatting sqref="J3:J4">
    <cfRule type="expression" dxfId="43" priority="399">
      <formula>$C$7</formula>
    </cfRule>
  </conditionalFormatting>
  <conditionalFormatting sqref="L3:L4">
    <cfRule type="expression" dxfId="42" priority="400">
      <formula>$C$9</formula>
    </cfRule>
  </conditionalFormatting>
  <conditionalFormatting sqref="K3:K4">
    <cfRule type="expression" dxfId="41" priority="1">
      <formula>$C$8</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1346" t="str">
        <f>Language!$E$124</f>
        <v>Kies tijdzone</v>
      </c>
      <c r="B1" s="1346"/>
      <c r="C1" s="1346"/>
      <c r="D1" s="1346"/>
      <c r="E1" s="1346"/>
      <c r="F1" s="1346"/>
      <c r="G1" s="394" t="str">
        <f>Language!$E$194</f>
        <v>Klik hier en kies de tijdzone:</v>
      </c>
      <c r="H1" s="396" t="s">
        <v>149</v>
      </c>
      <c r="I1" s="395" t="s">
        <v>559</v>
      </c>
      <c r="J1" s="166"/>
    </row>
    <row r="2" spans="1:17"/>
    <row r="3" spans="1:17" ht="15.75" thickBot="1">
      <c r="C3" s="179"/>
      <c r="D3" s="6"/>
    </row>
    <row r="4" spans="1:17">
      <c r="B4" s="167">
        <v>-12</v>
      </c>
      <c r="C4" s="225" t="s">
        <v>137</v>
      </c>
      <c r="D4" s="226" t="s">
        <v>114</v>
      </c>
      <c r="E4" s="168">
        <f>$B4/24</f>
        <v>-0.5</v>
      </c>
      <c r="F4" s="169"/>
      <c r="G4" s="1415" t="str">
        <f>Language!$E$198</f>
        <v>De tijdzone moet dienovereenkomstig worden aangepast voor de zomertijd (b.v. UTC+2 in plaats van UTC+1).</v>
      </c>
      <c r="H4" s="1415"/>
      <c r="I4" s="1415"/>
      <c r="J4" s="171"/>
      <c r="K4" s="18"/>
      <c r="L4" s="30">
        <v>1</v>
      </c>
      <c r="M4" s="174" t="str">
        <f t="array" ref="M4:M19">IF(Language!$E$103:$E$118=0,"",Language!$E$103:$E$118)</f>
        <v>Vancouver</v>
      </c>
      <c r="N4" s="585" t="s">
        <v>145</v>
      </c>
      <c r="O4" s="4">
        <f>IFERROR(VLOOKUP($N4,$C$4:$E$39,3,0),0)</f>
        <v>-0.16666666666666666</v>
      </c>
      <c r="Q4" s="4" t="s">
        <v>142</v>
      </c>
    </row>
    <row r="5" spans="1:17" ht="15" customHeight="1">
      <c r="B5" s="167">
        <v>-11</v>
      </c>
      <c r="C5" s="197" t="s">
        <v>138</v>
      </c>
      <c r="D5" s="198"/>
      <c r="E5" s="168">
        <f t="shared" ref="E5:E39" si="0">$B5/24</f>
        <v>-0.45833333333333331</v>
      </c>
      <c r="G5" s="1415"/>
      <c r="H5" s="1415"/>
      <c r="I5" s="1415"/>
      <c r="J5" s="173"/>
      <c r="K5" s="588"/>
      <c r="L5" s="30">
        <v>2</v>
      </c>
      <c r="M5" s="174" t="str">
        <v>Toronto</v>
      </c>
      <c r="N5" s="586" t="s">
        <v>145</v>
      </c>
      <c r="O5" s="4">
        <f t="shared" ref="O5:O19" si="1">IFERROR(VLOOKUP($N5,$C$4:$E$39,3,0),0)</f>
        <v>-0.16666666666666666</v>
      </c>
      <c r="Q5" s="4" t="s">
        <v>145</v>
      </c>
    </row>
    <row r="6" spans="1:17">
      <c r="B6" s="167">
        <v>-10</v>
      </c>
      <c r="C6" s="197" t="s">
        <v>139</v>
      </c>
      <c r="D6" s="198" t="s">
        <v>115</v>
      </c>
      <c r="E6" s="168">
        <f t="shared" si="0"/>
        <v>-0.41666666666666669</v>
      </c>
      <c r="G6" s="1415"/>
      <c r="H6" s="1415"/>
      <c r="I6" s="1415"/>
      <c r="J6" s="173"/>
      <c r="K6" s="588"/>
      <c r="L6" s="30">
        <v>3</v>
      </c>
      <c r="M6" s="174" t="str">
        <v>New York/New Jersey</v>
      </c>
      <c r="N6" s="586" t="s">
        <v>145</v>
      </c>
      <c r="O6" s="4">
        <f t="shared" si="1"/>
        <v>-0.16666666666666666</v>
      </c>
      <c r="Q6" s="4" t="s">
        <v>145</v>
      </c>
    </row>
    <row r="7" spans="1:17">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c r="B15" s="167">
        <v>-2</v>
      </c>
      <c r="C15" s="197" t="s">
        <v>147</v>
      </c>
      <c r="D15" s="198"/>
      <c r="E15" s="168">
        <f t="shared" si="0"/>
        <v>-8.3333333333333329E-2</v>
      </c>
      <c r="I15" s="172"/>
      <c r="J15" s="173"/>
      <c r="K15" s="173"/>
      <c r="L15" s="30">
        <v>12</v>
      </c>
      <c r="M15" s="174" t="str">
        <v>Boston</v>
      </c>
      <c r="N15" s="586" t="s">
        <v>145</v>
      </c>
      <c r="O15" s="4">
        <f t="shared" si="1"/>
        <v>-0.16666666666666666</v>
      </c>
      <c r="Q15" s="4" t="s">
        <v>145</v>
      </c>
    </row>
    <row r="16" spans="1:17">
      <c r="B16" s="167">
        <v>-1</v>
      </c>
      <c r="C16" s="197" t="s">
        <v>148</v>
      </c>
      <c r="D16" s="198"/>
      <c r="E16" s="168">
        <f t="shared" si="0"/>
        <v>-4.1666666666666664E-2</v>
      </c>
      <c r="I16" s="172"/>
      <c r="J16" s="173"/>
      <c r="K16" s="173"/>
      <c r="L16" s="30">
        <v>13</v>
      </c>
      <c r="M16" s="174" t="str">
        <v>Miami</v>
      </c>
      <c r="N16" s="586" t="s">
        <v>145</v>
      </c>
      <c r="O16" s="4">
        <f t="shared" si="1"/>
        <v>-0.16666666666666666</v>
      </c>
      <c r="Q16" s="4" t="s">
        <v>145</v>
      </c>
    </row>
    <row r="17" spans="2:17">
      <c r="B17" s="167">
        <v>0</v>
      </c>
      <c r="C17" s="197" t="s">
        <v>132</v>
      </c>
      <c r="D17" s="198" t="s">
        <v>123</v>
      </c>
      <c r="E17" s="168">
        <f t="shared" si="0"/>
        <v>0</v>
      </c>
      <c r="I17" s="172"/>
      <c r="J17" s="173"/>
      <c r="K17" s="173"/>
      <c r="L17" s="30">
        <v>14</v>
      </c>
      <c r="M17" s="174" t="str">
        <v>Mexico City</v>
      </c>
      <c r="N17" s="586" t="s">
        <v>145</v>
      </c>
      <c r="O17" s="4">
        <f t="shared" si="1"/>
        <v>-0.16666666666666666</v>
      </c>
      <c r="Q17" s="4" t="s">
        <v>143</v>
      </c>
    </row>
    <row r="18" spans="2:17">
      <c r="B18" s="167">
        <v>1</v>
      </c>
      <c r="C18" s="197" t="s">
        <v>135</v>
      </c>
      <c r="D18" s="198" t="s">
        <v>555</v>
      </c>
      <c r="E18" s="168">
        <f t="shared" si="0"/>
        <v>4.1666666666666664E-2</v>
      </c>
      <c r="I18" s="170"/>
      <c r="J18" s="172"/>
      <c r="K18" s="173"/>
      <c r="L18" s="30">
        <v>15</v>
      </c>
      <c r="M18" s="174" t="str">
        <v>Guadalajara</v>
      </c>
      <c r="N18" s="586" t="s">
        <v>145</v>
      </c>
      <c r="O18" s="4">
        <f t="shared" si="1"/>
        <v>-0.16666666666666666</v>
      </c>
      <c r="Q18" s="4" t="s">
        <v>143</v>
      </c>
    </row>
    <row r="19" spans="2:17" ht="15.75" thickBot="1">
      <c r="B19" s="167">
        <v>2</v>
      </c>
      <c r="C19" s="197" t="s">
        <v>149</v>
      </c>
      <c r="D19" s="198" t="s">
        <v>553</v>
      </c>
      <c r="E19" s="168">
        <f t="shared" si="0"/>
        <v>8.3333333333333329E-2</v>
      </c>
      <c r="I19" s="172"/>
      <c r="J19" s="173"/>
      <c r="K19" s="173"/>
      <c r="L19" s="30">
        <v>16</v>
      </c>
      <c r="M19" s="174" t="str">
        <v>Monterrey</v>
      </c>
      <c r="N19" s="587" t="s">
        <v>145</v>
      </c>
      <c r="O19" s="4">
        <f t="shared" si="1"/>
        <v>-0.16666666666666666</v>
      </c>
      <c r="Q19" s="4" t="s">
        <v>143</v>
      </c>
    </row>
    <row r="20" spans="2:17">
      <c r="B20" s="167">
        <v>3</v>
      </c>
      <c r="C20" s="197" t="s">
        <v>150</v>
      </c>
      <c r="D20" s="198" t="s">
        <v>124</v>
      </c>
      <c r="E20" s="168">
        <f t="shared" si="0"/>
        <v>0.125</v>
      </c>
      <c r="I20" s="172"/>
      <c r="J20" s="173"/>
      <c r="K20" s="173"/>
      <c r="L20" s="174"/>
      <c r="M20" s="174"/>
      <c r="N20" s="174"/>
    </row>
    <row r="21" spans="2:17">
      <c r="B21" s="167">
        <v>3.5</v>
      </c>
      <c r="C21" s="412" t="s">
        <v>1020</v>
      </c>
      <c r="D21" s="198" t="s">
        <v>131</v>
      </c>
      <c r="E21" s="168">
        <f t="shared" si="0"/>
        <v>0.14583333333333334</v>
      </c>
      <c r="I21" s="172"/>
      <c r="J21" s="173"/>
      <c r="K21" s="173"/>
      <c r="L21" s="174"/>
      <c r="M21" s="174"/>
      <c r="N21" s="174"/>
    </row>
    <row r="22" spans="2:17">
      <c r="B22" s="167">
        <v>4</v>
      </c>
      <c r="C22" s="412" t="s">
        <v>1021</v>
      </c>
      <c r="D22" s="198"/>
      <c r="E22" s="168">
        <f t="shared" si="0"/>
        <v>0.16666666666666666</v>
      </c>
      <c r="I22" s="172"/>
      <c r="J22" s="173"/>
      <c r="K22" s="173"/>
      <c r="L22" s="174"/>
      <c r="M22" s="174"/>
      <c r="N22" s="174"/>
    </row>
    <row r="23" spans="2:17">
      <c r="B23" s="167">
        <v>4.5</v>
      </c>
      <c r="C23" s="412" t="s">
        <v>1022</v>
      </c>
      <c r="D23" s="198"/>
      <c r="E23" s="168">
        <f t="shared" si="0"/>
        <v>0.1875</v>
      </c>
      <c r="I23" s="172"/>
      <c r="J23" s="173"/>
      <c r="K23" s="173"/>
      <c r="L23" s="174"/>
      <c r="M23" s="174"/>
      <c r="N23" s="174"/>
    </row>
    <row r="24" spans="2:17">
      <c r="B24" s="167">
        <v>5</v>
      </c>
      <c r="C24" s="412" t="s">
        <v>1023</v>
      </c>
      <c r="D24" s="198"/>
      <c r="E24" s="168">
        <f t="shared" si="0"/>
        <v>0.20833333333333334</v>
      </c>
      <c r="I24" s="172"/>
      <c r="J24" s="173"/>
      <c r="K24" s="173"/>
      <c r="L24" s="174"/>
      <c r="M24" s="174"/>
      <c r="N24" s="174"/>
    </row>
    <row r="25" spans="2:17">
      <c r="B25" s="167">
        <v>5.5</v>
      </c>
      <c r="C25" s="412" t="s">
        <v>1024</v>
      </c>
      <c r="D25" s="198" t="s">
        <v>130</v>
      </c>
      <c r="E25" s="168">
        <f t="shared" si="0"/>
        <v>0.22916666666666666</v>
      </c>
      <c r="I25" s="170"/>
      <c r="J25" s="172"/>
      <c r="K25" s="173"/>
      <c r="L25" s="174"/>
      <c r="M25" s="174"/>
      <c r="N25" s="174"/>
    </row>
    <row r="26" spans="2:17">
      <c r="B26" s="167">
        <v>5.75</v>
      </c>
      <c r="C26" s="412" t="s">
        <v>1025</v>
      </c>
      <c r="D26" s="198"/>
      <c r="E26" s="168">
        <f t="shared" si="0"/>
        <v>0.23958333333333334</v>
      </c>
      <c r="I26" s="172"/>
      <c r="J26" s="173"/>
      <c r="K26" s="173"/>
      <c r="L26" s="174"/>
      <c r="M26" s="174"/>
      <c r="N26" s="174"/>
    </row>
    <row r="27" spans="2:17">
      <c r="B27" s="167">
        <v>6</v>
      </c>
      <c r="C27" s="412" t="s">
        <v>1026</v>
      </c>
      <c r="D27" s="198"/>
      <c r="E27" s="168">
        <f t="shared" si="0"/>
        <v>0.25</v>
      </c>
      <c r="I27" s="172"/>
      <c r="J27" s="173"/>
      <c r="K27" s="173"/>
      <c r="L27" s="174"/>
      <c r="M27" s="174"/>
      <c r="N27" s="174"/>
    </row>
    <row r="28" spans="2:17">
      <c r="B28" s="167">
        <v>6.5</v>
      </c>
      <c r="C28" s="412" t="s">
        <v>1027</v>
      </c>
      <c r="D28" s="198"/>
      <c r="E28" s="168">
        <f t="shared" si="0"/>
        <v>0.27083333333333331</v>
      </c>
      <c r="I28" s="172"/>
      <c r="J28" s="173"/>
      <c r="K28" s="173"/>
      <c r="L28" s="174"/>
      <c r="M28" s="174"/>
      <c r="N28" s="174"/>
    </row>
    <row r="29" spans="2:17">
      <c r="B29" s="167">
        <v>7</v>
      </c>
      <c r="C29" s="412" t="s">
        <v>1028</v>
      </c>
      <c r="D29" s="198" t="s">
        <v>125</v>
      </c>
      <c r="E29" s="168">
        <f t="shared" si="0"/>
        <v>0.29166666666666669</v>
      </c>
      <c r="I29" s="172"/>
      <c r="J29" s="173"/>
      <c r="K29" s="173"/>
      <c r="L29" s="174"/>
      <c r="M29" s="174"/>
      <c r="N29" s="174"/>
    </row>
    <row r="30" spans="2:17">
      <c r="B30" s="167">
        <v>8</v>
      </c>
      <c r="C30" s="412" t="s">
        <v>1029</v>
      </c>
      <c r="D30" s="198" t="s">
        <v>126</v>
      </c>
      <c r="E30" s="168">
        <f t="shared" si="0"/>
        <v>0.33333333333333331</v>
      </c>
      <c r="I30" s="172"/>
      <c r="J30" s="173"/>
      <c r="K30" s="173"/>
      <c r="L30" s="174"/>
      <c r="M30" s="174"/>
      <c r="N30" s="174"/>
    </row>
    <row r="31" spans="2:17">
      <c r="B31" s="167">
        <v>9</v>
      </c>
      <c r="C31" s="412" t="s">
        <v>1030</v>
      </c>
      <c r="D31" s="198" t="s">
        <v>127</v>
      </c>
      <c r="E31" s="168">
        <f t="shared" si="0"/>
        <v>0.375</v>
      </c>
      <c r="I31" s="172"/>
      <c r="J31" s="173"/>
      <c r="K31" s="173"/>
      <c r="L31" s="174"/>
      <c r="M31" s="174"/>
      <c r="N31" s="174"/>
    </row>
    <row r="32" spans="2:17">
      <c r="B32" s="167">
        <v>9.5</v>
      </c>
      <c r="C32" s="412" t="s">
        <v>1031</v>
      </c>
      <c r="D32" s="198" t="s">
        <v>129</v>
      </c>
      <c r="E32" s="168">
        <f t="shared" si="0"/>
        <v>0.39583333333333331</v>
      </c>
      <c r="I32" s="170"/>
      <c r="J32" s="172"/>
      <c r="K32" s="173"/>
      <c r="L32" s="174"/>
      <c r="M32" s="174"/>
      <c r="N32" s="174"/>
    </row>
    <row r="33" spans="2:14">
      <c r="B33" s="167">
        <v>10</v>
      </c>
      <c r="C33" s="412" t="s">
        <v>1032</v>
      </c>
      <c r="D33" s="198"/>
      <c r="E33" s="168">
        <f t="shared" si="0"/>
        <v>0.41666666666666669</v>
      </c>
      <c r="I33" s="172"/>
      <c r="J33" s="173"/>
      <c r="K33" s="173"/>
      <c r="L33" s="174"/>
      <c r="M33" s="174"/>
      <c r="N33" s="174"/>
    </row>
    <row r="34" spans="2:14">
      <c r="B34" s="167">
        <v>10.5</v>
      </c>
      <c r="C34" s="412" t="s">
        <v>1033</v>
      </c>
      <c r="D34" s="198"/>
      <c r="E34" s="168">
        <f t="shared" si="0"/>
        <v>0.4375</v>
      </c>
      <c r="I34" s="172"/>
      <c r="J34" s="173"/>
      <c r="K34" s="173"/>
      <c r="L34" s="174"/>
      <c r="M34" s="174"/>
      <c r="N34" s="174"/>
    </row>
    <row r="35" spans="2:14">
      <c r="B35" s="167">
        <v>11</v>
      </c>
      <c r="C35" s="412" t="s">
        <v>1034</v>
      </c>
      <c r="D35" s="198"/>
      <c r="E35" s="168">
        <f t="shared" si="0"/>
        <v>0.45833333333333331</v>
      </c>
      <c r="I35" s="172"/>
      <c r="J35" s="173"/>
      <c r="K35" s="173"/>
      <c r="L35" s="174"/>
      <c r="M35" s="174"/>
      <c r="N35" s="174"/>
    </row>
    <row r="36" spans="2:14">
      <c r="B36" s="167">
        <v>12</v>
      </c>
      <c r="C36" s="412" t="s">
        <v>1035</v>
      </c>
      <c r="D36" s="198" t="s">
        <v>128</v>
      </c>
      <c r="E36" s="168">
        <f t="shared" si="0"/>
        <v>0.5</v>
      </c>
      <c r="I36" s="172"/>
      <c r="J36" s="173"/>
      <c r="K36" s="173"/>
      <c r="L36" s="174"/>
      <c r="M36" s="174"/>
      <c r="N36" s="174"/>
    </row>
    <row r="37" spans="2:14">
      <c r="B37" s="167">
        <v>12.75</v>
      </c>
      <c r="C37" s="412" t="s">
        <v>1036</v>
      </c>
      <c r="D37" s="198"/>
      <c r="E37" s="168">
        <f t="shared" si="0"/>
        <v>0.53125</v>
      </c>
      <c r="I37" s="172"/>
      <c r="J37" s="173"/>
      <c r="K37" s="173"/>
      <c r="L37" s="174"/>
      <c r="M37" s="174"/>
      <c r="N37" s="174"/>
    </row>
    <row r="38" spans="2:14">
      <c r="B38" s="167">
        <v>13</v>
      </c>
      <c r="C38" s="412" t="s">
        <v>1037</v>
      </c>
      <c r="D38" s="198"/>
      <c r="E38" s="168">
        <f t="shared" si="0"/>
        <v>0.54166666666666663</v>
      </c>
      <c r="I38" s="172"/>
      <c r="J38" s="173"/>
      <c r="K38" s="173"/>
      <c r="L38" s="174"/>
      <c r="M38" s="174"/>
      <c r="N38" s="174"/>
    </row>
    <row r="39" spans="2:14">
      <c r="B39" s="167">
        <v>14</v>
      </c>
      <c r="C39" s="414" t="s">
        <v>1038</v>
      </c>
      <c r="D39" s="227"/>
      <c r="E39" s="168">
        <f t="shared" si="0"/>
        <v>0.58333333333333337</v>
      </c>
      <c r="I39" s="170"/>
      <c r="J39" s="173"/>
      <c r="K39" s="173"/>
      <c r="L39" s="174"/>
      <c r="M39" s="174"/>
      <c r="N39" s="174"/>
    </row>
    <row r="40" spans="2:14">
      <c r="I40" s="172"/>
      <c r="J40" s="173"/>
      <c r="K40" s="173"/>
      <c r="L40" s="174"/>
      <c r="M40" s="174"/>
      <c r="N40" s="174"/>
    </row>
    <row r="41" spans="2:14"/>
  </sheetData>
  <sheetProtection selectLockedCells="1"/>
  <mergeCells count="2">
    <mergeCell ref="A1:F1"/>
    <mergeCell ref="G4:I6"/>
  </mergeCells>
  <conditionalFormatting sqref="C18:D18">
    <cfRule type="expression" dxfId="40" priority="39">
      <formula>$H$1=$C18</formula>
    </cfRule>
  </conditionalFormatting>
  <conditionalFormatting sqref="C4:D4">
    <cfRule type="expression" dxfId="39" priority="37">
      <formula>$H$1=$C4</formula>
    </cfRule>
  </conditionalFormatting>
  <conditionalFormatting sqref="C5:D5">
    <cfRule type="expression" dxfId="38" priority="36">
      <formula>$H$1=$C5</formula>
    </cfRule>
  </conditionalFormatting>
  <conditionalFormatting sqref="C6:D6">
    <cfRule type="expression" dxfId="37" priority="35">
      <formula>$H$1=$C6</formula>
    </cfRule>
  </conditionalFormatting>
  <conditionalFormatting sqref="C7:D7">
    <cfRule type="expression" dxfId="36" priority="34">
      <formula>$H$1=$C7</formula>
    </cfRule>
  </conditionalFormatting>
  <conditionalFormatting sqref="C8:D8">
    <cfRule type="expression" dxfId="35" priority="33">
      <formula>$H$1=$C8</formula>
    </cfRule>
  </conditionalFormatting>
  <conditionalFormatting sqref="C9:D9">
    <cfRule type="expression" dxfId="34" priority="32">
      <formula>$H$1=$C9</formula>
    </cfRule>
  </conditionalFormatting>
  <conditionalFormatting sqref="C10:D10">
    <cfRule type="expression" dxfId="33" priority="31">
      <formula>$H$1=$C10</formula>
    </cfRule>
  </conditionalFormatting>
  <conditionalFormatting sqref="C11:D11">
    <cfRule type="expression" dxfId="32" priority="30">
      <formula>$H$1=$C11</formula>
    </cfRule>
  </conditionalFormatting>
  <conditionalFormatting sqref="C12:D12">
    <cfRule type="expression" dxfId="31" priority="29">
      <formula>$H$1=$C12</formula>
    </cfRule>
  </conditionalFormatting>
  <conditionalFormatting sqref="C13:D13">
    <cfRule type="expression" dxfId="30" priority="28">
      <formula>$H$1=$C13</formula>
    </cfRule>
  </conditionalFormatting>
  <conditionalFormatting sqref="C14:D14">
    <cfRule type="expression" dxfId="29" priority="27">
      <formula>$H$1=$C14</formula>
    </cfRule>
  </conditionalFormatting>
  <conditionalFormatting sqref="C15:D15">
    <cfRule type="expression" dxfId="28" priority="26">
      <formula>$H$1=$C15</formula>
    </cfRule>
  </conditionalFormatting>
  <conditionalFormatting sqref="C16:D16">
    <cfRule type="expression" dxfId="27" priority="25">
      <formula>$H$1=$C16</formula>
    </cfRule>
  </conditionalFormatting>
  <conditionalFormatting sqref="C17:D17">
    <cfRule type="expression" dxfId="26" priority="24">
      <formula>$H$1=$C17</formula>
    </cfRule>
  </conditionalFormatting>
  <conditionalFormatting sqref="C19:D19">
    <cfRule type="expression" dxfId="25" priority="23">
      <formula>$H$1=$C19</formula>
    </cfRule>
  </conditionalFormatting>
  <conditionalFormatting sqref="D21">
    <cfRule type="expression" dxfId="24" priority="22">
      <formula>$H$1=$C21</formula>
    </cfRule>
  </conditionalFormatting>
  <conditionalFormatting sqref="C20:D20">
    <cfRule type="expression" dxfId="23" priority="20">
      <formula>$H$1=$C20</formula>
    </cfRule>
  </conditionalFormatting>
  <conditionalFormatting sqref="D22">
    <cfRule type="expression" dxfId="22" priority="19">
      <formula>$H$1=$C22</formula>
    </cfRule>
  </conditionalFormatting>
  <conditionalFormatting sqref="D23">
    <cfRule type="expression" dxfId="21" priority="18">
      <formula>$H$1=$C23</formula>
    </cfRule>
  </conditionalFormatting>
  <conditionalFormatting sqref="D24">
    <cfRule type="expression" dxfId="20" priority="17">
      <formula>$H$1=$C24</formula>
    </cfRule>
  </conditionalFormatting>
  <conditionalFormatting sqref="D25">
    <cfRule type="expression" dxfId="19" priority="16">
      <formula>$H$1=$C25</formula>
    </cfRule>
  </conditionalFormatting>
  <conditionalFormatting sqref="D26">
    <cfRule type="expression" dxfId="18" priority="15">
      <formula>$H$1=$C26</formula>
    </cfRule>
  </conditionalFormatting>
  <conditionalFormatting sqref="D27">
    <cfRule type="expression" dxfId="17" priority="14">
      <formula>$H$1=$C27</formula>
    </cfRule>
  </conditionalFormatting>
  <conditionalFormatting sqref="D28">
    <cfRule type="expression" dxfId="16" priority="13">
      <formula>$H$1=$C28</formula>
    </cfRule>
  </conditionalFormatting>
  <conditionalFormatting sqref="D29">
    <cfRule type="expression" dxfId="15" priority="12">
      <formula>$H$1=$C29</formula>
    </cfRule>
  </conditionalFormatting>
  <conditionalFormatting sqref="D30">
    <cfRule type="expression" dxfId="14" priority="11">
      <formula>$H$1=$C30</formula>
    </cfRule>
  </conditionalFormatting>
  <conditionalFormatting sqref="D31">
    <cfRule type="expression" dxfId="13" priority="10">
      <formula>$H$1=$C31</formula>
    </cfRule>
  </conditionalFormatting>
  <conditionalFormatting sqref="D32">
    <cfRule type="expression" dxfId="12" priority="9">
      <formula>$H$1=$C32</formula>
    </cfRule>
  </conditionalFormatting>
  <conditionalFormatting sqref="D33">
    <cfRule type="expression" dxfId="11" priority="8">
      <formula>$H$1=$C33</formula>
    </cfRule>
  </conditionalFormatting>
  <conditionalFormatting sqref="D34">
    <cfRule type="expression" dxfId="10" priority="7">
      <formula>$H$1=$C34</formula>
    </cfRule>
  </conditionalFormatting>
  <conditionalFormatting sqref="D35">
    <cfRule type="expression" dxfId="9" priority="6">
      <formula>$H$1=$C35</formula>
    </cfRule>
  </conditionalFormatting>
  <conditionalFormatting sqref="D36">
    <cfRule type="expression" dxfId="8" priority="5">
      <formula>$H$1=$C36</formula>
    </cfRule>
  </conditionalFormatting>
  <conditionalFormatting sqref="D37">
    <cfRule type="expression" dxfId="7" priority="4">
      <formula>$H$1=$C37</formula>
    </cfRule>
  </conditionalFormatting>
  <conditionalFormatting sqref="D38">
    <cfRule type="expression" dxfId="6" priority="3">
      <formula>$H$1=$C38</formula>
    </cfRule>
  </conditionalFormatting>
  <conditionalFormatting sqref="D39">
    <cfRule type="expression" dxfId="5" priority="2">
      <formula>$H$1=$C39</formula>
    </cfRule>
  </conditionalFormatting>
  <conditionalFormatting sqref="C21:C39">
    <cfRule type="expression" dxfId="4" priority="1">
      <formula>$H$1=$C21</formula>
    </cfRule>
  </conditionalFormatting>
  <dataValidations count="2">
    <dataValidation type="list" allowBlank="1" showErrorMessage="1" sqref="H1" xr:uid="{52B6EB8C-8467-41D2-82DD-6B530D38FCA1}">
      <formula1>$C$4:$C$39</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3"/>
      <c r="C2" s="1416" t="s">
        <v>56</v>
      </c>
      <c r="D2" s="1416"/>
      <c r="E2" s="1416"/>
      <c r="F2" s="1416"/>
      <c r="G2" s="1416"/>
      <c r="H2" s="1416"/>
      <c r="I2" s="114"/>
      <c r="K2" s="113"/>
      <c r="L2" s="1416" t="s">
        <v>316</v>
      </c>
      <c r="M2" s="1416"/>
      <c r="N2" s="1416"/>
      <c r="O2" s="1416"/>
      <c r="P2" s="1416"/>
      <c r="Q2" s="1416"/>
      <c r="R2" s="122"/>
      <c r="S2" s="122"/>
      <c r="T2" s="114"/>
    </row>
    <row r="3" spans="2:20">
      <c r="B3" s="115"/>
      <c r="C3" s="116"/>
      <c r="D3" s="116"/>
      <c r="E3" s="116"/>
      <c r="F3" s="116"/>
      <c r="G3" s="116"/>
      <c r="H3" s="116"/>
      <c r="I3" s="117"/>
      <c r="K3" s="115"/>
      <c r="L3" s="116"/>
      <c r="M3" s="116"/>
      <c r="N3" s="116"/>
      <c r="O3" s="116"/>
      <c r="P3" s="116"/>
      <c r="Q3" s="116"/>
      <c r="R3" s="116"/>
      <c r="S3" s="116"/>
      <c r="T3" s="117"/>
    </row>
    <row r="4" spans="2:20">
      <c r="B4" s="115"/>
      <c r="C4" s="116"/>
      <c r="D4" s="116"/>
      <c r="E4" s="116"/>
      <c r="F4" s="116"/>
      <c r="G4" s="116"/>
      <c r="H4" s="116"/>
      <c r="I4" s="117"/>
      <c r="K4" s="115"/>
      <c r="L4" s="116"/>
      <c r="M4" s="116"/>
      <c r="N4" s="112"/>
      <c r="O4" s="112"/>
      <c r="P4" s="112"/>
      <c r="Q4" s="112"/>
      <c r="R4" s="112"/>
      <c r="S4" s="112"/>
      <c r="T4" s="117"/>
    </row>
    <row r="5" spans="2:20" ht="18.75">
      <c r="B5" s="115"/>
      <c r="C5" s="397" t="s">
        <v>304</v>
      </c>
      <c r="D5" s="116"/>
      <c r="E5" s="116"/>
      <c r="F5" s="116"/>
      <c r="G5" s="116"/>
      <c r="H5" s="116"/>
      <c r="I5" s="117"/>
      <c r="K5" s="115"/>
      <c r="L5" s="397" t="s">
        <v>317</v>
      </c>
      <c r="M5" s="116"/>
      <c r="N5" s="112"/>
      <c r="O5" s="112"/>
      <c r="P5" s="112"/>
      <c r="Q5" s="112"/>
      <c r="R5" s="112"/>
      <c r="S5" s="112"/>
      <c r="T5" s="117"/>
    </row>
    <row r="6" spans="2:20">
      <c r="B6" s="115"/>
      <c r="C6" s="116"/>
      <c r="D6" s="116"/>
      <c r="E6" s="116"/>
      <c r="F6" s="116"/>
      <c r="G6" s="116"/>
      <c r="H6" s="116"/>
      <c r="I6" s="117"/>
      <c r="K6" s="115"/>
      <c r="L6" s="116"/>
      <c r="M6" s="116"/>
      <c r="N6" s="112"/>
      <c r="O6" s="112"/>
      <c r="P6" s="112"/>
      <c r="Q6" s="112"/>
      <c r="R6" s="112"/>
      <c r="S6" s="112"/>
      <c r="T6" s="117"/>
    </row>
    <row r="7" spans="2:20">
      <c r="B7" s="115"/>
      <c r="C7" s="118" t="s">
        <v>26</v>
      </c>
      <c r="D7" s="116"/>
      <c r="E7" s="116"/>
      <c r="F7" s="116"/>
      <c r="G7" s="116"/>
      <c r="H7" s="116"/>
      <c r="I7" s="117"/>
      <c r="K7" s="115"/>
      <c r="L7" s="118" t="s">
        <v>26</v>
      </c>
      <c r="M7" s="116"/>
      <c r="N7" s="112"/>
      <c r="O7" s="112"/>
      <c r="P7" s="112"/>
      <c r="Q7" s="112"/>
      <c r="R7" s="112"/>
      <c r="S7" s="112"/>
      <c r="T7" s="117"/>
    </row>
    <row r="8" spans="2:20">
      <c r="B8" s="115"/>
      <c r="C8" s="116" t="s">
        <v>305</v>
      </c>
      <c r="D8" s="116"/>
      <c r="E8" s="116"/>
      <c r="F8" s="116"/>
      <c r="G8" s="116"/>
      <c r="H8" s="116"/>
      <c r="I8" s="117"/>
      <c r="K8" s="115"/>
      <c r="L8" s="116" t="s">
        <v>318</v>
      </c>
      <c r="M8" s="116"/>
      <c r="N8" s="112"/>
      <c r="O8" s="112"/>
      <c r="P8" s="112"/>
      <c r="Q8" s="112"/>
      <c r="R8" s="112"/>
      <c r="S8" s="112"/>
      <c r="T8" s="117"/>
    </row>
    <row r="9" spans="2:20">
      <c r="B9" s="115"/>
      <c r="C9" s="116"/>
      <c r="D9" s="116"/>
      <c r="E9" s="116"/>
      <c r="F9" s="116"/>
      <c r="G9" s="116"/>
      <c r="H9" s="116"/>
      <c r="I9" s="117"/>
      <c r="K9" s="115"/>
      <c r="L9" s="116"/>
      <c r="M9" s="116"/>
      <c r="N9" s="112"/>
      <c r="O9" s="112"/>
      <c r="P9" s="112"/>
      <c r="Q9" s="112"/>
      <c r="R9" s="112"/>
      <c r="S9" s="112"/>
      <c r="T9" s="117"/>
    </row>
    <row r="10" spans="2:20">
      <c r="B10" s="115"/>
      <c r="C10" s="118" t="s">
        <v>27</v>
      </c>
      <c r="D10" s="116"/>
      <c r="E10" s="116"/>
      <c r="F10" s="116"/>
      <c r="G10" s="116"/>
      <c r="H10" s="116"/>
      <c r="I10" s="117"/>
      <c r="K10" s="115"/>
      <c r="L10" s="118" t="s">
        <v>27</v>
      </c>
      <c r="M10" s="116"/>
      <c r="N10" s="112"/>
      <c r="O10" s="112"/>
      <c r="P10" s="112"/>
      <c r="Q10" s="112"/>
      <c r="R10" s="112"/>
      <c r="S10" s="112"/>
      <c r="T10" s="117"/>
    </row>
    <row r="11" spans="2:20">
      <c r="B11" s="115"/>
      <c r="C11" s="116" t="s">
        <v>315</v>
      </c>
      <c r="D11" s="116"/>
      <c r="E11" s="116"/>
      <c r="F11" s="116"/>
      <c r="G11" s="116"/>
      <c r="H11" s="116"/>
      <c r="I11" s="117"/>
      <c r="K11" s="115"/>
      <c r="L11" s="116" t="s">
        <v>319</v>
      </c>
      <c r="M11" s="116"/>
      <c r="N11" s="112"/>
      <c r="O11" s="112"/>
      <c r="P11" s="112"/>
      <c r="Q11" s="112"/>
      <c r="R11" s="112"/>
      <c r="S11" s="112"/>
      <c r="T11" s="117"/>
    </row>
    <row r="12" spans="2:20">
      <c r="B12" s="115"/>
      <c r="C12" s="116"/>
      <c r="D12" s="116"/>
      <c r="E12" s="116"/>
      <c r="F12" s="116"/>
      <c r="G12" s="116"/>
      <c r="H12" s="116"/>
      <c r="I12" s="117"/>
      <c r="K12" s="115"/>
      <c r="L12" s="116"/>
      <c r="M12" s="116"/>
      <c r="N12" s="112"/>
      <c r="O12" s="112"/>
      <c r="P12" s="112"/>
      <c r="Q12" s="112"/>
      <c r="R12" s="112"/>
      <c r="S12" s="112"/>
      <c r="T12" s="117"/>
    </row>
    <row r="13" spans="2:20">
      <c r="B13" s="115"/>
      <c r="C13" s="118" t="s">
        <v>28</v>
      </c>
      <c r="D13" s="116"/>
      <c r="E13" s="116"/>
      <c r="F13" s="116"/>
      <c r="G13" s="116"/>
      <c r="H13" s="116"/>
      <c r="I13" s="117"/>
      <c r="K13" s="115"/>
      <c r="L13" s="118" t="s">
        <v>28</v>
      </c>
      <c r="M13" s="116"/>
      <c r="N13" s="112"/>
      <c r="O13" s="112"/>
      <c r="P13" s="112"/>
      <c r="Q13" s="112"/>
      <c r="R13" s="112"/>
      <c r="S13" s="112"/>
      <c r="T13" s="117"/>
    </row>
    <row r="14" spans="2:20">
      <c r="B14" s="115"/>
      <c r="C14" s="116" t="s">
        <v>1832</v>
      </c>
      <c r="D14" s="116"/>
      <c r="E14" s="116"/>
      <c r="F14" s="116"/>
      <c r="G14" s="116"/>
      <c r="H14" s="116"/>
      <c r="I14" s="117"/>
      <c r="K14" s="115"/>
      <c r="L14" s="116" t="s">
        <v>1831</v>
      </c>
      <c r="M14" s="116"/>
      <c r="N14" s="112"/>
      <c r="O14" s="112"/>
      <c r="P14" s="112"/>
      <c r="Q14" s="112"/>
      <c r="R14" s="112"/>
      <c r="S14" s="112"/>
      <c r="T14" s="117"/>
    </row>
    <row r="15" spans="2:20">
      <c r="B15" s="115"/>
      <c r="C15" s="116" t="s">
        <v>1850</v>
      </c>
      <c r="D15" s="116"/>
      <c r="E15" s="116"/>
      <c r="F15" s="116"/>
      <c r="G15" s="116"/>
      <c r="H15" s="116"/>
      <c r="I15" s="117"/>
      <c r="K15" s="115"/>
      <c r="L15" s="116" t="s">
        <v>1852</v>
      </c>
      <c r="M15" s="116"/>
      <c r="N15" s="112"/>
      <c r="O15" s="112"/>
      <c r="P15" s="112"/>
      <c r="Q15" s="112"/>
      <c r="R15" s="112"/>
      <c r="S15" s="112"/>
      <c r="T15" s="117"/>
    </row>
    <row r="16" spans="2:20">
      <c r="B16" s="115"/>
      <c r="C16" s="116" t="s">
        <v>1851</v>
      </c>
      <c r="D16" s="116"/>
      <c r="E16" s="116"/>
      <c r="F16" s="116"/>
      <c r="G16" s="116"/>
      <c r="H16" s="116"/>
      <c r="I16" s="117"/>
      <c r="K16" s="115"/>
      <c r="L16" s="116" t="s">
        <v>1853</v>
      </c>
      <c r="M16" s="116"/>
      <c r="N16" s="112"/>
      <c r="O16" s="112"/>
      <c r="P16" s="112"/>
      <c r="Q16" s="112"/>
      <c r="R16" s="112"/>
      <c r="S16" s="112"/>
      <c r="T16" s="117"/>
    </row>
    <row r="17" spans="2:20">
      <c r="B17" s="115"/>
      <c r="C17" s="116"/>
      <c r="D17" s="116"/>
      <c r="E17" s="116"/>
      <c r="F17" s="116"/>
      <c r="G17" s="116"/>
      <c r="H17" s="116"/>
      <c r="I17" s="117"/>
      <c r="K17" s="115"/>
      <c r="L17" s="116"/>
      <c r="M17" s="116"/>
      <c r="N17" s="112"/>
      <c r="O17" s="112"/>
      <c r="P17" s="112"/>
      <c r="Q17" s="112"/>
      <c r="R17" s="112"/>
      <c r="S17" s="112"/>
      <c r="T17" s="117"/>
    </row>
    <row r="18" spans="2:20">
      <c r="B18" s="115"/>
      <c r="C18" s="118" t="s">
        <v>29</v>
      </c>
      <c r="D18" s="116"/>
      <c r="E18" s="116"/>
      <c r="F18" s="116"/>
      <c r="G18" s="116"/>
      <c r="H18" s="116"/>
      <c r="I18" s="117"/>
      <c r="K18" s="115"/>
      <c r="L18" s="118" t="s">
        <v>29</v>
      </c>
      <c r="M18" s="116"/>
      <c r="N18" s="112"/>
      <c r="O18" s="112"/>
      <c r="P18" s="112"/>
      <c r="Q18" s="112"/>
      <c r="R18" s="112"/>
      <c r="S18" s="112"/>
      <c r="T18" s="117"/>
    </row>
    <row r="19" spans="2:20">
      <c r="B19" s="115"/>
      <c r="C19" s="116" t="s">
        <v>548</v>
      </c>
      <c r="D19" s="116"/>
      <c r="E19" s="116"/>
      <c r="F19" s="116"/>
      <c r="G19" s="116"/>
      <c r="H19" s="116"/>
      <c r="I19" s="117"/>
      <c r="K19" s="115"/>
      <c r="L19" s="116" t="s">
        <v>547</v>
      </c>
      <c r="M19" s="116"/>
      <c r="N19" s="112"/>
      <c r="O19" s="112"/>
      <c r="P19" s="112"/>
      <c r="Q19" s="112"/>
      <c r="R19" s="112"/>
      <c r="S19" s="112"/>
      <c r="T19" s="117"/>
    </row>
    <row r="20" spans="2:20">
      <c r="B20" s="115"/>
      <c r="C20" s="116" t="s">
        <v>549</v>
      </c>
      <c r="D20" s="116"/>
      <c r="E20" s="116"/>
      <c r="F20" s="116"/>
      <c r="G20" s="116"/>
      <c r="H20" s="116"/>
      <c r="I20" s="117"/>
      <c r="K20" s="115"/>
      <c r="L20" s="116" t="s">
        <v>551</v>
      </c>
      <c r="M20" s="116"/>
      <c r="N20" s="112"/>
      <c r="O20" s="112"/>
      <c r="P20" s="112"/>
      <c r="Q20" s="112"/>
      <c r="R20" s="112"/>
      <c r="S20" s="112"/>
      <c r="T20" s="117"/>
    </row>
    <row r="21" spans="2:20">
      <c r="B21" s="115"/>
      <c r="C21" s="116" t="s">
        <v>550</v>
      </c>
      <c r="D21" s="116"/>
      <c r="E21" s="116"/>
      <c r="F21" s="116"/>
      <c r="G21" s="116"/>
      <c r="H21" s="116"/>
      <c r="I21" s="117"/>
      <c r="K21" s="115"/>
      <c r="L21" s="116" t="s">
        <v>552</v>
      </c>
      <c r="M21" s="116"/>
      <c r="N21" s="112"/>
      <c r="O21" s="112"/>
      <c r="P21" s="112"/>
      <c r="Q21" s="112"/>
      <c r="R21" s="112"/>
      <c r="S21" s="112"/>
      <c r="T21" s="117"/>
    </row>
    <row r="22" spans="2:20">
      <c r="B22" s="115"/>
      <c r="C22" s="116"/>
      <c r="D22" s="116"/>
      <c r="E22" s="116"/>
      <c r="F22" s="116"/>
      <c r="G22" s="116"/>
      <c r="H22" s="116"/>
      <c r="I22" s="117"/>
      <c r="K22" s="115"/>
      <c r="L22" s="116"/>
      <c r="M22" s="116"/>
      <c r="N22" s="112"/>
      <c r="O22" s="112"/>
      <c r="P22" s="112"/>
      <c r="Q22" s="112"/>
      <c r="R22" s="112"/>
      <c r="S22" s="112"/>
      <c r="T22" s="117"/>
    </row>
    <row r="23" spans="2:20">
      <c r="B23" s="115"/>
      <c r="C23" s="116"/>
      <c r="D23" s="116"/>
      <c r="E23" s="116"/>
      <c r="F23" s="116"/>
      <c r="G23" s="116"/>
      <c r="H23" s="116"/>
      <c r="I23" s="117"/>
      <c r="K23" s="115"/>
      <c r="L23" s="116"/>
      <c r="M23" s="116"/>
      <c r="N23" s="112"/>
      <c r="O23" s="112"/>
      <c r="P23" s="112"/>
      <c r="Q23" s="112"/>
      <c r="R23" s="112"/>
      <c r="S23" s="112"/>
      <c r="T23" s="117"/>
    </row>
    <row r="24" spans="2:20" ht="18.75">
      <c r="B24" s="115"/>
      <c r="C24" s="397" t="s">
        <v>306</v>
      </c>
      <c r="D24" s="116"/>
      <c r="E24" s="116"/>
      <c r="F24" s="116"/>
      <c r="G24" s="116"/>
      <c r="H24" s="116"/>
      <c r="I24" s="117"/>
      <c r="K24" s="115"/>
      <c r="L24" s="397" t="s">
        <v>320</v>
      </c>
      <c r="M24" s="116"/>
      <c r="N24" s="112"/>
      <c r="O24" s="112"/>
      <c r="P24" s="112"/>
      <c r="Q24" s="112"/>
      <c r="R24" s="112"/>
      <c r="S24" s="112"/>
      <c r="T24" s="117"/>
    </row>
    <row r="25" spans="2:20">
      <c r="B25" s="115"/>
      <c r="C25" s="116"/>
      <c r="D25" s="116"/>
      <c r="E25" s="116"/>
      <c r="F25" s="116"/>
      <c r="G25" s="116"/>
      <c r="H25" s="116"/>
      <c r="I25" s="117"/>
      <c r="K25" s="115"/>
      <c r="L25" s="116"/>
      <c r="M25" s="116"/>
      <c r="N25" s="112"/>
      <c r="O25" s="112"/>
      <c r="P25" s="112"/>
      <c r="Q25" s="112"/>
      <c r="R25" s="112"/>
      <c r="S25" s="112"/>
      <c r="T25" s="117"/>
    </row>
    <row r="26" spans="2:20">
      <c r="B26" s="115"/>
      <c r="C26" s="116" t="s">
        <v>322</v>
      </c>
      <c r="D26" s="116"/>
      <c r="E26" s="116"/>
      <c r="F26" s="116"/>
      <c r="G26" s="116"/>
      <c r="H26" s="116"/>
      <c r="I26" s="117"/>
      <c r="K26" s="115"/>
      <c r="L26" s="116" t="s">
        <v>321</v>
      </c>
      <c r="M26" s="116"/>
      <c r="N26" s="116"/>
      <c r="O26" s="116"/>
      <c r="P26" s="116"/>
      <c r="Q26" s="116"/>
      <c r="R26" s="116"/>
      <c r="S26" s="116"/>
      <c r="T26" s="117"/>
    </row>
    <row r="27" spans="2:20">
      <c r="B27" s="115"/>
      <c r="C27" s="116" t="s">
        <v>556</v>
      </c>
      <c r="D27" s="116"/>
      <c r="E27" s="116"/>
      <c r="F27" s="116"/>
      <c r="G27" s="116"/>
      <c r="H27" s="116"/>
      <c r="I27" s="117"/>
      <c r="K27" s="115"/>
      <c r="L27" s="116" t="s">
        <v>323</v>
      </c>
      <c r="M27" s="116"/>
      <c r="N27" s="116"/>
      <c r="O27" s="116"/>
      <c r="P27" s="116"/>
      <c r="Q27" s="116"/>
      <c r="R27" s="116"/>
      <c r="S27" s="116"/>
      <c r="T27" s="117"/>
    </row>
    <row r="28" spans="2:20">
      <c r="B28" s="115"/>
      <c r="C28" s="116"/>
      <c r="D28" s="116"/>
      <c r="E28" s="116"/>
      <c r="F28" s="116"/>
      <c r="G28" s="116"/>
      <c r="H28" s="116"/>
      <c r="I28" s="117"/>
      <c r="K28" s="115"/>
      <c r="L28" s="116"/>
      <c r="M28" s="116"/>
      <c r="N28" s="116"/>
      <c r="O28" s="116"/>
      <c r="P28" s="116"/>
      <c r="Q28" s="116"/>
      <c r="R28" s="116"/>
      <c r="S28" s="116"/>
      <c r="T28" s="117"/>
    </row>
    <row r="29" spans="2:20">
      <c r="B29" s="115"/>
      <c r="C29" s="116"/>
      <c r="D29" s="116"/>
      <c r="E29" s="116"/>
      <c r="F29" s="116"/>
      <c r="G29" s="116"/>
      <c r="H29" s="116"/>
      <c r="I29" s="117"/>
      <c r="K29" s="115"/>
      <c r="L29" s="116"/>
      <c r="M29" s="116"/>
      <c r="N29" s="112"/>
      <c r="O29" s="112"/>
      <c r="P29" s="112"/>
      <c r="Q29" s="112"/>
      <c r="R29" s="112"/>
      <c r="S29" s="112"/>
      <c r="T29" s="117"/>
    </row>
    <row r="30" spans="2:20" ht="18.75">
      <c r="B30" s="115"/>
      <c r="C30" s="397" t="s">
        <v>564</v>
      </c>
      <c r="D30" s="116"/>
      <c r="E30" s="116"/>
      <c r="F30" s="116"/>
      <c r="G30" s="116"/>
      <c r="H30" s="116"/>
      <c r="I30" s="117"/>
      <c r="K30" s="115"/>
      <c r="L30" s="397" t="s">
        <v>563</v>
      </c>
      <c r="M30" s="116"/>
      <c r="N30" s="112"/>
      <c r="O30" s="112"/>
      <c r="P30" s="112"/>
      <c r="Q30" s="112"/>
      <c r="R30" s="112"/>
      <c r="S30" s="112"/>
      <c r="T30" s="117"/>
    </row>
    <row r="31" spans="2:20">
      <c r="B31" s="115"/>
      <c r="C31" s="116"/>
      <c r="D31" s="116"/>
      <c r="E31" s="116"/>
      <c r="F31" s="116"/>
      <c r="G31" s="116"/>
      <c r="H31" s="116"/>
      <c r="I31" s="117"/>
      <c r="K31" s="115"/>
      <c r="L31" s="116"/>
      <c r="M31" s="116"/>
      <c r="N31" s="112"/>
      <c r="O31" s="112"/>
      <c r="P31" s="112"/>
      <c r="Q31" s="112"/>
      <c r="R31" s="112"/>
      <c r="S31" s="112"/>
      <c r="T31" s="117"/>
    </row>
    <row r="32" spans="2:20">
      <c r="B32" s="115"/>
      <c r="C32" s="116" t="s">
        <v>1835</v>
      </c>
      <c r="D32" s="116"/>
      <c r="E32" s="116"/>
      <c r="F32" s="116"/>
      <c r="G32" s="116"/>
      <c r="H32" s="116"/>
      <c r="I32" s="117"/>
      <c r="K32" s="115"/>
      <c r="L32" s="116" t="s">
        <v>1833</v>
      </c>
      <c r="M32" s="116"/>
      <c r="N32" s="116"/>
      <c r="O32" s="116"/>
      <c r="P32" s="116"/>
      <c r="Q32" s="116"/>
      <c r="R32" s="116"/>
      <c r="S32" s="116"/>
      <c r="T32" s="117"/>
    </row>
    <row r="33" spans="2:20">
      <c r="B33" s="115"/>
      <c r="C33" s="863" t="s">
        <v>1836</v>
      </c>
      <c r="D33" s="116"/>
      <c r="E33" s="116"/>
      <c r="F33" s="116"/>
      <c r="G33" s="116"/>
      <c r="H33" s="116"/>
      <c r="I33" s="117"/>
      <c r="K33" s="115"/>
      <c r="L33" s="116" t="s">
        <v>1834</v>
      </c>
      <c r="M33" s="116"/>
      <c r="N33" s="116"/>
      <c r="O33" s="116"/>
      <c r="P33" s="116"/>
      <c r="Q33" s="116"/>
      <c r="R33" s="116"/>
      <c r="S33" s="116"/>
      <c r="T33" s="117"/>
    </row>
    <row r="34" spans="2:20">
      <c r="B34" s="115"/>
      <c r="C34" s="116" t="s">
        <v>1837</v>
      </c>
      <c r="D34" s="116"/>
      <c r="E34" s="116"/>
      <c r="F34" s="116"/>
      <c r="G34" s="116"/>
      <c r="H34" s="116"/>
      <c r="I34" s="117"/>
      <c r="K34" s="115"/>
      <c r="L34" s="116" t="s">
        <v>1838</v>
      </c>
      <c r="M34" s="116"/>
      <c r="N34" s="116"/>
      <c r="O34" s="116"/>
      <c r="P34" s="116"/>
      <c r="Q34" s="116"/>
      <c r="R34" s="116"/>
      <c r="S34" s="116"/>
      <c r="T34" s="117"/>
    </row>
    <row r="35" spans="2:20" ht="15.75" thickBot="1">
      <c r="B35" s="119"/>
      <c r="C35" s="120"/>
      <c r="D35" s="120"/>
      <c r="E35" s="120"/>
      <c r="F35" s="120"/>
      <c r="G35" s="120"/>
      <c r="H35" s="120"/>
      <c r="I35" s="121"/>
      <c r="K35" s="119"/>
      <c r="L35" s="120"/>
      <c r="M35" s="120"/>
      <c r="N35" s="120"/>
      <c r="O35" s="120"/>
      <c r="P35" s="120"/>
      <c r="Q35" s="120"/>
      <c r="R35" s="120"/>
      <c r="S35" s="120"/>
      <c r="T35" s="121"/>
    </row>
    <row r="36" spans="2:20">
      <c r="B36" s="37"/>
      <c r="C36" s="203"/>
      <c r="D36" s="37"/>
      <c r="E36" s="202"/>
      <c r="F36" s="202"/>
      <c r="G36" s="202"/>
      <c r="H36" s="202"/>
      <c r="I36" s="202"/>
      <c r="J36" s="202"/>
      <c r="K36" s="37"/>
      <c r="L36" s="203"/>
      <c r="M36" s="37"/>
      <c r="N36" s="202"/>
      <c r="O36" s="202"/>
      <c r="P36" s="202"/>
      <c r="Q36" s="202"/>
      <c r="R36" s="202"/>
      <c r="S36" s="202"/>
      <c r="T36" s="37"/>
    </row>
    <row r="37" spans="2:20"/>
  </sheetData>
  <sheetProtection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401" t="s">
        <v>458</v>
      </c>
      <c r="C2" s="1401"/>
      <c r="D2" s="1401"/>
    </row>
    <row r="3" spans="2:5" ht="15.75" thickBot="1"/>
    <row r="4" spans="2:5" ht="15.75" thickTop="1">
      <c r="B4" s="1405" t="s">
        <v>405</v>
      </c>
      <c r="C4" s="1418" t="s">
        <v>404</v>
      </c>
      <c r="D4" s="1420" t="s">
        <v>403</v>
      </c>
      <c r="E4" s="593"/>
    </row>
    <row r="5" spans="2:5">
      <c r="B5" s="1417"/>
      <c r="C5" s="1419"/>
      <c r="D5" s="1421"/>
      <c r="E5" s="594" t="s">
        <v>1712</v>
      </c>
    </row>
    <row r="6" spans="2:5" ht="15.75">
      <c r="B6" s="127"/>
      <c r="C6" s="213"/>
      <c r="D6" s="214" t="s">
        <v>24</v>
      </c>
      <c r="E6" s="595"/>
    </row>
    <row r="7" spans="2:5">
      <c r="B7" s="128" t="s">
        <v>171</v>
      </c>
      <c r="C7" s="131">
        <v>15</v>
      </c>
      <c r="D7" s="204" t="str">
        <f>VLOOKUP($C7,Language!$D$5:$E$100,2,0)</f>
        <v>Mexico</v>
      </c>
      <c r="E7" s="595" t="b">
        <f>OR(CalcA!$K$5&gt;0,CalcA!$I$5&gt;0)</f>
        <v>1</v>
      </c>
    </row>
    <row r="8" spans="2:5">
      <c r="B8" s="128" t="s">
        <v>172</v>
      </c>
      <c r="C8" s="134">
        <v>60</v>
      </c>
      <c r="D8" s="204" t="str">
        <f>VLOOKUP($C8,Language!$D$5:$E$100,2,0)</f>
        <v>Zuid-Afrika</v>
      </c>
      <c r="E8" s="595" t="b">
        <f>OR(CalcA!$K$6&gt;0,CalcA!$I$6&gt;0)</f>
        <v>1</v>
      </c>
    </row>
    <row r="9" spans="2:5">
      <c r="B9" s="128" t="s">
        <v>173</v>
      </c>
      <c r="C9" s="134">
        <v>25</v>
      </c>
      <c r="D9" s="204" t="str">
        <f>VLOOKUP($C9,Language!$D$5:$E$100,2,0)</f>
        <v>Zuid-Korea</v>
      </c>
      <c r="E9" s="595" t="b">
        <f>OR(CalcA!$K$7&gt;0,CalcA!$I$7&gt;0)</f>
        <v>1</v>
      </c>
    </row>
    <row r="10" spans="2:5">
      <c r="B10" s="128" t="s">
        <v>1045</v>
      </c>
      <c r="C10" s="415">
        <v>41</v>
      </c>
      <c r="D10" s="204" t="str">
        <f>VLOOKUP($C10,Language!$D$5:$E$100,2,0)</f>
        <v>Tsjechië</v>
      </c>
      <c r="E10" s="595" t="b">
        <f>OR(CalcA!$K$8&gt;0,CalcA!$I$8&gt;0)</f>
        <v>1</v>
      </c>
    </row>
    <row r="11" spans="2:5" ht="15.75">
      <c r="B11" s="129"/>
      <c r="C11" s="213"/>
      <c r="D11" s="214" t="s">
        <v>20</v>
      </c>
      <c r="E11" s="595"/>
    </row>
    <row r="12" spans="2:5">
      <c r="B12" s="128" t="s">
        <v>174</v>
      </c>
      <c r="C12" s="134">
        <v>30</v>
      </c>
      <c r="D12" s="204" t="str">
        <f>VLOOKUP($C12,Language!$D$5:$E$100,2,0)</f>
        <v>Canada</v>
      </c>
      <c r="E12" s="595" t="b">
        <f>OR(CalcB!$K$5&gt;0,CalcB!$I$5&gt;0)</f>
        <v>1</v>
      </c>
    </row>
    <row r="13" spans="2:5">
      <c r="B13" s="128" t="s">
        <v>175</v>
      </c>
      <c r="C13" s="131">
        <v>65</v>
      </c>
      <c r="D13" s="204" t="str">
        <f>VLOOKUP($C13,Language!$D$5:$E$100,2,0)</f>
        <v>Bosnië/Herz.</v>
      </c>
      <c r="E13" s="595" t="b">
        <f>OR(CalcB!$K$6&gt;0,CalcB!$I$6&gt;0)</f>
        <v>1</v>
      </c>
    </row>
    <row r="14" spans="2:5">
      <c r="B14" s="128" t="s">
        <v>176</v>
      </c>
      <c r="C14" s="134">
        <v>55</v>
      </c>
      <c r="D14" s="204" t="str">
        <f>VLOOKUP($C14,Language!$D$5:$E$100,2,0)</f>
        <v>Qatar</v>
      </c>
      <c r="E14" s="595" t="b">
        <f>OR(CalcB!$K$7&gt;0,CalcB!$I$7&gt;0)</f>
        <v>1</v>
      </c>
    </row>
    <row r="15" spans="2:5">
      <c r="B15" s="128" t="s">
        <v>1046</v>
      </c>
      <c r="C15" s="415">
        <v>19</v>
      </c>
      <c r="D15" s="204" t="str">
        <f>VLOOKUP($C15,Language!$D$5:$E$100,2,0)</f>
        <v>Zwitserland</v>
      </c>
      <c r="E15" s="595" t="b">
        <f>OR(CalcB!$K$8&gt;0,CalcB!$I$8&gt;0)</f>
        <v>1</v>
      </c>
    </row>
    <row r="16" spans="2:5" ht="15.75">
      <c r="B16" s="129"/>
      <c r="C16" s="213"/>
      <c r="D16" s="214" t="s">
        <v>21</v>
      </c>
      <c r="E16" s="595"/>
    </row>
    <row r="17" spans="2:5">
      <c r="B17" s="128" t="s">
        <v>177</v>
      </c>
      <c r="C17" s="134">
        <v>6</v>
      </c>
      <c r="D17" s="204" t="str">
        <f>VLOOKUP($C17,Language!$D$5:$E$100,2,0)</f>
        <v>Brazilië</v>
      </c>
      <c r="E17" s="595" t="b">
        <f>OR(CalcC!$K$5&gt;0,CalcC!$I$5&gt;0)</f>
        <v>1</v>
      </c>
    </row>
    <row r="18" spans="2:5">
      <c r="B18" s="128" t="s">
        <v>178</v>
      </c>
      <c r="C18" s="134">
        <v>8</v>
      </c>
      <c r="D18" s="204" t="str">
        <f>VLOOKUP($C18,Language!$D$5:$E$100,2,0)</f>
        <v>Marokko</v>
      </c>
      <c r="E18" s="595" t="b">
        <f>OR(CalcC!$K$6&gt;0,CalcC!$I$6&gt;0)</f>
        <v>1</v>
      </c>
    </row>
    <row r="19" spans="2:5">
      <c r="B19" s="128" t="s">
        <v>179</v>
      </c>
      <c r="C19" s="134">
        <v>83</v>
      </c>
      <c r="D19" s="204" t="str">
        <f>VLOOKUP($C19,Language!$D$5:$E$100,2,0)</f>
        <v>Haïti</v>
      </c>
      <c r="E19" s="595" t="b">
        <f>OR(CalcC!$K$7&gt;0,CalcC!$I$7&gt;0)</f>
        <v>1</v>
      </c>
    </row>
    <row r="20" spans="2:5">
      <c r="B20" s="128" t="s">
        <v>1047</v>
      </c>
      <c r="C20" s="415">
        <v>43</v>
      </c>
      <c r="D20" s="204" t="str">
        <f>VLOOKUP($C20,Language!$D$5:$E$100,2,0)</f>
        <v>Schotland</v>
      </c>
      <c r="E20" s="595" t="b">
        <f>OR(CalcC!$K$8&gt;0,CalcC!$I$8&gt;0)</f>
        <v>1</v>
      </c>
    </row>
    <row r="21" spans="2:5" ht="15.75">
      <c r="B21" s="129"/>
      <c r="C21" s="213"/>
      <c r="D21" s="214" t="s">
        <v>25</v>
      </c>
      <c r="E21" s="595"/>
    </row>
    <row r="22" spans="2:5">
      <c r="B22" s="128" t="s">
        <v>180</v>
      </c>
      <c r="C22" s="134">
        <v>16</v>
      </c>
      <c r="D22" s="204" t="str">
        <f>VLOOKUP($C22,Language!$D$5:$E$100,2,0)</f>
        <v>USA</v>
      </c>
      <c r="E22" s="595" t="b">
        <f>OR(CalcD!$K$5&gt;0,CalcD!$I$5&gt;0)</f>
        <v>1</v>
      </c>
    </row>
    <row r="23" spans="2:5">
      <c r="B23" s="128" t="s">
        <v>181</v>
      </c>
      <c r="C23" s="134">
        <v>40</v>
      </c>
      <c r="D23" s="204" t="str">
        <f>VLOOKUP($C23,Language!$D$5:$E$100,2,0)</f>
        <v>Paraguay</v>
      </c>
      <c r="E23" s="595" t="b">
        <f>OR(CalcD!$K$6&gt;0,CalcD!$I$6&gt;0)</f>
        <v>1</v>
      </c>
    </row>
    <row r="24" spans="2:5">
      <c r="B24" s="128" t="s">
        <v>182</v>
      </c>
      <c r="C24" s="134">
        <v>27</v>
      </c>
      <c r="D24" s="204" t="str">
        <f>VLOOKUP($C24,Language!$D$5:$E$100,2,0)</f>
        <v>Australië</v>
      </c>
      <c r="E24" s="595" t="b">
        <f>OR(CalcD!$K$7&gt;0,CalcD!$I$7&gt;0)</f>
        <v>1</v>
      </c>
    </row>
    <row r="25" spans="2:5">
      <c r="B25" s="128" t="s">
        <v>1048</v>
      </c>
      <c r="C25" s="415">
        <v>22</v>
      </c>
      <c r="D25" s="204" t="str">
        <f>VLOOKUP($C25,Language!$D$5:$E$100,2,0)</f>
        <v>Turkije</v>
      </c>
      <c r="E25" s="595" t="b">
        <f>OR(CalcD!$K$8&gt;0,CalcD!$I$8&gt;0)</f>
        <v>1</v>
      </c>
    </row>
    <row r="26" spans="2:5" ht="15.75">
      <c r="B26" s="129"/>
      <c r="C26" s="213"/>
      <c r="D26" s="214" t="s">
        <v>22</v>
      </c>
      <c r="E26" s="595"/>
    </row>
    <row r="27" spans="2:5">
      <c r="B27" s="128" t="s">
        <v>183</v>
      </c>
      <c r="C27" s="134">
        <v>10</v>
      </c>
      <c r="D27" s="204" t="str">
        <f>VLOOKUP($C27,Language!$D$5:$E$100,2,0)</f>
        <v>Duitsland</v>
      </c>
      <c r="E27" s="595" t="b">
        <f>OR(CalcE!$K$5&gt;0,CalcE!$I$5&gt;0)</f>
        <v>1</v>
      </c>
    </row>
    <row r="28" spans="2:5">
      <c r="B28" s="128" t="s">
        <v>184</v>
      </c>
      <c r="C28" s="131">
        <v>82</v>
      </c>
      <c r="D28" s="204" t="str">
        <f>VLOOKUP($C28,Language!$D$5:$E$100,2,0)</f>
        <v>Curacao</v>
      </c>
      <c r="E28" s="595" t="b">
        <f>OR(CalcE!$K$6&gt;0,CalcE!$I$6&gt;0)</f>
        <v>1</v>
      </c>
    </row>
    <row r="29" spans="2:5">
      <c r="B29" s="128" t="s">
        <v>185</v>
      </c>
      <c r="C29" s="134">
        <v>34</v>
      </c>
      <c r="D29" s="204" t="str">
        <f>VLOOKUP($C29,Language!$D$5:$E$100,2,0)</f>
        <v>Ivoorkust</v>
      </c>
      <c r="E29" s="595" t="b">
        <f>OR(CalcE!$K$7&gt;0,CalcE!$I$7&gt;0)</f>
        <v>1</v>
      </c>
    </row>
    <row r="30" spans="2:5">
      <c r="B30" s="128" t="s">
        <v>1049</v>
      </c>
      <c r="C30" s="415">
        <v>23</v>
      </c>
      <c r="D30" s="204" t="str">
        <f>VLOOKUP($C30,Language!$D$5:$E$100,2,0)</f>
        <v>Ecuador</v>
      </c>
      <c r="E30" s="595" t="b">
        <f>OR(CalcE!$K$8&gt;0,CalcE!$I$8&gt;0)</f>
        <v>1</v>
      </c>
    </row>
    <row r="31" spans="2:5" ht="15.75">
      <c r="B31" s="129"/>
      <c r="C31" s="213"/>
      <c r="D31" s="214" t="s">
        <v>23</v>
      </c>
      <c r="E31" s="595"/>
    </row>
    <row r="32" spans="2:5">
      <c r="B32" s="128" t="s">
        <v>266</v>
      </c>
      <c r="C32" s="131">
        <v>7</v>
      </c>
      <c r="D32" s="204" t="str">
        <f>VLOOKUP($C32,Language!$D$5:$E$100,2,0)</f>
        <v>Nederland</v>
      </c>
      <c r="E32" s="595" t="b">
        <f>OR(CalcF!$K$5&gt;0,CalcF!$I$5&gt;0)</f>
        <v>1</v>
      </c>
    </row>
    <row r="33" spans="2:5">
      <c r="B33" s="128" t="s">
        <v>267</v>
      </c>
      <c r="C33" s="134">
        <v>18</v>
      </c>
      <c r="D33" s="204" t="str">
        <f>VLOOKUP($C33,Language!$D$5:$E$100,2,0)</f>
        <v>Japan</v>
      </c>
      <c r="E33" s="595" t="b">
        <f>OR(CalcF!$K$6&gt;0,CalcF!$I$6&gt;0)</f>
        <v>1</v>
      </c>
    </row>
    <row r="34" spans="2:5">
      <c r="B34" s="128" t="s">
        <v>268</v>
      </c>
      <c r="C34" s="131">
        <v>38</v>
      </c>
      <c r="D34" s="204" t="str">
        <f>VLOOKUP($C34,Language!$D$5:$E$100,2,0)</f>
        <v>Zweden</v>
      </c>
      <c r="E34" s="595" t="b">
        <f>OR(CalcF!$K$7&gt;0,CalcF!$I$7&gt;0)</f>
        <v>1</v>
      </c>
    </row>
    <row r="35" spans="2:5">
      <c r="B35" s="128" t="s">
        <v>1050</v>
      </c>
      <c r="C35" s="416">
        <v>44</v>
      </c>
      <c r="D35" s="204" t="str">
        <f>VLOOKUP($C35,Language!$D$5:$E$100,2,0)</f>
        <v>Tunesië</v>
      </c>
      <c r="E35" s="595" t="b">
        <f>OR(CalcF!$K$8&gt;0,CalcF!$I$8&gt;0)</f>
        <v>1</v>
      </c>
    </row>
    <row r="36" spans="2:5" ht="15.75">
      <c r="B36" s="129"/>
      <c r="C36" s="213"/>
      <c r="D36" s="214" t="s">
        <v>272</v>
      </c>
      <c r="E36" s="595"/>
    </row>
    <row r="37" spans="2:5">
      <c r="B37" s="128" t="s">
        <v>186</v>
      </c>
      <c r="C37" s="134">
        <v>9</v>
      </c>
      <c r="D37" s="204" t="str">
        <f>VLOOKUP($C37,Language!$D$5:$E$100,2,0)</f>
        <v>België</v>
      </c>
      <c r="E37" s="595" t="b">
        <f>OR(CalcG!$K$5&gt;0,CalcG!$I$5&gt;0)</f>
        <v>1</v>
      </c>
    </row>
    <row r="38" spans="2:5">
      <c r="B38" s="128" t="s">
        <v>187</v>
      </c>
      <c r="C38" s="134">
        <v>29</v>
      </c>
      <c r="D38" s="204" t="str">
        <f>VLOOKUP($C38,Language!$D$5:$E$100,2,0)</f>
        <v>Egypte</v>
      </c>
      <c r="E38" s="595" t="b">
        <f>OR(CalcG!$K$6&gt;0,CalcG!$I$6&gt;0)</f>
        <v>1</v>
      </c>
    </row>
    <row r="39" spans="2:5">
      <c r="B39" s="128" t="s">
        <v>188</v>
      </c>
      <c r="C39" s="134">
        <v>21</v>
      </c>
      <c r="D39" s="204" t="str">
        <f>VLOOKUP($C39,Language!$D$5:$E$100,2,0)</f>
        <v>Iran</v>
      </c>
      <c r="E39" s="595" t="b">
        <f>OR(CalcG!$K$7&gt;0,CalcG!$I$7&gt;0)</f>
        <v>1</v>
      </c>
    </row>
    <row r="40" spans="2:5">
      <c r="B40" s="128" t="s">
        <v>1051</v>
      </c>
      <c r="C40" s="415">
        <v>85</v>
      </c>
      <c r="D40" s="204" t="str">
        <f>VLOOKUP($C40,Language!$D$5:$E$100,2,0)</f>
        <v>Nieuw-Zeeland</v>
      </c>
      <c r="E40" s="595" t="b">
        <f>OR(CalcG!$K$8&gt;0,CalcG!$I$8&gt;0)</f>
        <v>1</v>
      </c>
    </row>
    <row r="41" spans="2:5" ht="15.75">
      <c r="B41" s="129"/>
      <c r="C41" s="213"/>
      <c r="D41" s="214" t="s">
        <v>31</v>
      </c>
      <c r="E41" s="595"/>
    </row>
    <row r="42" spans="2:5">
      <c r="B42" s="128" t="s">
        <v>269</v>
      </c>
      <c r="C42" s="134">
        <v>2</v>
      </c>
      <c r="D42" s="207" t="str">
        <f>VLOOKUP($C42,Language!$D$5:$E$100,2,0)</f>
        <v>Spanje</v>
      </c>
      <c r="E42" s="595" t="b">
        <f>OR(CalcH!$K$5&gt;0,CalcH!$I$5&gt;0)</f>
        <v>1</v>
      </c>
    </row>
    <row r="43" spans="2:5">
      <c r="B43" s="128" t="s">
        <v>270</v>
      </c>
      <c r="C43" s="134">
        <v>69</v>
      </c>
      <c r="D43" s="207" t="str">
        <f>VLOOKUP($C43,Language!$D$5:$E$100,2,0)</f>
        <v>Kaapverdië</v>
      </c>
      <c r="E43" s="595" t="b">
        <f>OR(CalcH!$K$6&gt;0,CalcH!$I$6&gt;0)</f>
        <v>1</v>
      </c>
    </row>
    <row r="44" spans="2:5">
      <c r="B44" s="128" t="s">
        <v>271</v>
      </c>
      <c r="C44" s="134">
        <v>61</v>
      </c>
      <c r="D44" s="207" t="str">
        <f>VLOOKUP($C44,Language!$D$5:$E$100,2,0)</f>
        <v>Saoedi-Arabië</v>
      </c>
      <c r="E44" s="595" t="b">
        <f>OR(CalcH!$K$7&gt;0,CalcH!$I$7&gt;0)</f>
        <v>1</v>
      </c>
    </row>
    <row r="45" spans="2:5">
      <c r="B45" s="182" t="s">
        <v>1052</v>
      </c>
      <c r="C45" s="415">
        <v>17</v>
      </c>
      <c r="D45" s="207" t="str">
        <f>VLOOKUP($C45,Language!$D$5:$E$100,2,0)</f>
        <v>Uruguay</v>
      </c>
      <c r="E45" s="595" t="b">
        <f>OR(CalcH!$K$8&gt;0,CalcH!$I$8&gt;0)</f>
        <v>1</v>
      </c>
    </row>
    <row r="46" spans="2:5" ht="15.75">
      <c r="B46" s="127"/>
      <c r="C46" s="213"/>
      <c r="D46" s="214" t="s">
        <v>32</v>
      </c>
      <c r="E46" s="595"/>
    </row>
    <row r="47" spans="2:5">
      <c r="B47" s="128" t="s">
        <v>842</v>
      </c>
      <c r="C47" s="131">
        <v>1</v>
      </c>
      <c r="D47" s="204" t="str">
        <f>VLOOKUP($C47,Language!$D$5:$E$100,2,0)</f>
        <v>Frankrijk</v>
      </c>
      <c r="E47" s="595" t="b">
        <f>OR(CalcI!$K$5&gt;0,CalcI!$I$5&gt;0)</f>
        <v>1</v>
      </c>
    </row>
    <row r="48" spans="2:5">
      <c r="B48" s="128" t="s">
        <v>843</v>
      </c>
      <c r="C48" s="134">
        <v>14</v>
      </c>
      <c r="D48" s="204" t="str">
        <f>VLOOKUP($C48,Language!$D$5:$E$100,2,0)</f>
        <v>Senegal</v>
      </c>
      <c r="E48" s="595" t="b">
        <f>OR(CalcI!$K$6&gt;0,CalcI!$I$6&gt;0)</f>
        <v>1</v>
      </c>
    </row>
    <row r="49" spans="2:5">
      <c r="B49" s="128" t="s">
        <v>844</v>
      </c>
      <c r="C49" s="134">
        <v>57</v>
      </c>
      <c r="D49" s="204" t="str">
        <f>VLOOKUP($C49,Language!$D$5:$E$100,2,0)</f>
        <v>Irak</v>
      </c>
      <c r="E49" s="595" t="b">
        <f>OR(CalcI!$K$7&gt;0,CalcI!$I$7&gt;0)</f>
        <v>1</v>
      </c>
    </row>
    <row r="50" spans="2:5">
      <c r="B50" s="128" t="s">
        <v>1053</v>
      </c>
      <c r="C50" s="415">
        <v>31</v>
      </c>
      <c r="D50" s="204" t="str">
        <f>VLOOKUP($C50,Language!$D$5:$E$100,2,0)</f>
        <v>Noorwegen</v>
      </c>
      <c r="E50" s="595" t="b">
        <f>OR(CalcI!$K$8&gt;0,CalcI!$I$8&gt;0)</f>
        <v>1</v>
      </c>
    </row>
    <row r="51" spans="2:5" ht="15.75">
      <c r="B51" s="129"/>
      <c r="C51" s="213"/>
      <c r="D51" s="214" t="s">
        <v>841</v>
      </c>
      <c r="E51" s="595"/>
    </row>
    <row r="52" spans="2:5">
      <c r="B52" s="128" t="s">
        <v>845</v>
      </c>
      <c r="C52" s="134">
        <v>3</v>
      </c>
      <c r="D52" s="204" t="str">
        <f>VLOOKUP($C52,Language!$D$5:$E$100,2,0)</f>
        <v>Argentinië</v>
      </c>
      <c r="E52" s="595" t="b">
        <f>OR(CalcJ!$K$5&gt;0,CalcJ!$I$5&gt;0)</f>
        <v>1</v>
      </c>
    </row>
    <row r="53" spans="2:5">
      <c r="B53" s="128" t="s">
        <v>846</v>
      </c>
      <c r="C53" s="131">
        <v>28</v>
      </c>
      <c r="D53" s="204" t="str">
        <f>VLOOKUP($C53,Language!$D$5:$E$100,2,0)</f>
        <v>Algerije</v>
      </c>
      <c r="E53" s="595" t="b">
        <f>OR(CalcJ!$K$6&gt;0,CalcJ!$I$6&gt;0)</f>
        <v>1</v>
      </c>
    </row>
    <row r="54" spans="2:5">
      <c r="B54" s="128" t="s">
        <v>847</v>
      </c>
      <c r="C54" s="134">
        <v>24</v>
      </c>
      <c r="D54" s="204" t="str">
        <f>VLOOKUP($C54,Language!$D$5:$E$100,2,0)</f>
        <v>Oostenrijk</v>
      </c>
      <c r="E54" s="595" t="b">
        <f>OR(CalcJ!$K$7&gt;0,CalcJ!$I$7&gt;0)</f>
        <v>1</v>
      </c>
    </row>
    <row r="55" spans="2:5">
      <c r="B55" s="128" t="s">
        <v>1054</v>
      </c>
      <c r="C55" s="415">
        <v>63</v>
      </c>
      <c r="D55" s="204" t="str">
        <f>VLOOKUP($C55,Language!$D$5:$E$100,2,0)</f>
        <v>Jordanië</v>
      </c>
      <c r="E55" s="595" t="b">
        <f>OR(CalcJ!$K$8&gt;0,CalcJ!$I$8&gt;0)</f>
        <v>1</v>
      </c>
    </row>
    <row r="56" spans="2:5" ht="15.75">
      <c r="B56" s="129"/>
      <c r="C56" s="213"/>
      <c r="D56" s="214" t="s">
        <v>33</v>
      </c>
      <c r="E56" s="595"/>
    </row>
    <row r="57" spans="2:5">
      <c r="B57" s="128" t="s">
        <v>848</v>
      </c>
      <c r="C57" s="134">
        <v>5</v>
      </c>
      <c r="D57" s="204" t="str">
        <f>VLOOKUP($C57,Language!$D$5:$E$100,2,0)</f>
        <v>Portugal</v>
      </c>
      <c r="E57" s="595" t="b">
        <f>OR(CalcK!$K$5&gt;0,CalcK!$I$5&gt;0)</f>
        <v>1</v>
      </c>
    </row>
    <row r="58" spans="2:5">
      <c r="B58" s="128" t="s">
        <v>849</v>
      </c>
      <c r="C58" s="134">
        <v>46</v>
      </c>
      <c r="D58" s="204" t="str">
        <f>VLOOKUP($C58,Language!$D$5:$E$100,2,0)</f>
        <v>Congo</v>
      </c>
      <c r="E58" s="595" t="b">
        <f>OR(CalcK!$K$6&gt;0,CalcK!$I$6&gt;0)</f>
        <v>1</v>
      </c>
    </row>
    <row r="59" spans="2:5">
      <c r="B59" s="128" t="s">
        <v>850</v>
      </c>
      <c r="C59" s="134">
        <v>50</v>
      </c>
      <c r="D59" s="204" t="str">
        <f>VLOOKUP($C59,Language!$D$5:$E$100,2,0)</f>
        <v>Oezbekistan</v>
      </c>
      <c r="E59" s="595" t="b">
        <f>OR(CalcK!$K$7&gt;0,CalcK!$I$7&gt;0)</f>
        <v>1</v>
      </c>
    </row>
    <row r="60" spans="2:5">
      <c r="B60" s="128" t="s">
        <v>1055</v>
      </c>
      <c r="C60" s="417">
        <v>13</v>
      </c>
      <c r="D60" s="204" t="str">
        <f>VLOOKUP($C60,Language!$D$5:$E$100,2,0)</f>
        <v>Colombia</v>
      </c>
      <c r="E60" s="595" t="b">
        <f>OR(CalcK!$K$8&gt;0,CalcK!$I$8&gt;0)</f>
        <v>1</v>
      </c>
    </row>
    <row r="61" spans="2:5" ht="15.75">
      <c r="B61" s="129"/>
      <c r="C61" s="213"/>
      <c r="D61" s="214" t="s">
        <v>34</v>
      </c>
      <c r="E61" s="595"/>
    </row>
    <row r="62" spans="2:5">
      <c r="B62" s="128" t="s">
        <v>851</v>
      </c>
      <c r="C62" s="134">
        <v>4</v>
      </c>
      <c r="D62" s="204" t="str">
        <f>VLOOKUP($C62,Language!$D$5:$E$100,2,0)</f>
        <v>Engeland</v>
      </c>
      <c r="E62" s="595" t="b">
        <f>OR(CalcL!$K$5&gt;0,CalcL!$I$5&gt;0)</f>
        <v>1</v>
      </c>
    </row>
    <row r="63" spans="2:5">
      <c r="B63" s="128" t="s">
        <v>852</v>
      </c>
      <c r="C63" s="134">
        <v>11</v>
      </c>
      <c r="D63" s="204" t="str">
        <f>VLOOKUP($C63,Language!$D$5:$E$100,2,0)</f>
        <v>Kroatië</v>
      </c>
      <c r="E63" s="595" t="b">
        <f>OR(CalcL!$K$6&gt;0,CalcL!$I$6&gt;0)</f>
        <v>1</v>
      </c>
    </row>
    <row r="64" spans="2:5">
      <c r="B64" s="128" t="s">
        <v>853</v>
      </c>
      <c r="C64" s="134">
        <v>74</v>
      </c>
      <c r="D64" s="204" t="str">
        <f>VLOOKUP($C64,Language!$D$5:$E$100,2,0)</f>
        <v>Ghana</v>
      </c>
      <c r="E64" s="595" t="b">
        <f>OR(CalcL!$K$7&gt;0,CalcL!$I$7&gt;0)</f>
        <v>1</v>
      </c>
    </row>
    <row r="65" spans="2:5" ht="15.75" thickBot="1">
      <c r="B65" s="130" t="s">
        <v>1056</v>
      </c>
      <c r="C65" s="418">
        <v>33</v>
      </c>
      <c r="D65" s="419" t="str">
        <f>VLOOKUP($C65,Language!$D$5:$E$100,2,0)</f>
        <v>Panama</v>
      </c>
      <c r="E65" s="596" t="b">
        <f>OR(CalcL!$K$8&gt;0,CalcL!$I$8&gt;0)</f>
        <v>1</v>
      </c>
    </row>
    <row r="66" spans="2:5" ht="15.75" thickTop="1"/>
    <row r="67" spans="2:5"/>
    <row r="68" spans="2:5"/>
  </sheetData>
  <sheetProtection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C4" sqref="C4"/>
    </sheetView>
  </sheetViews>
  <sheetFormatPr defaultColWidth="0" defaultRowHeight="15" zeroHeight="1"/>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c r="A1" s="111"/>
      <c r="B1" s="1422" t="str">
        <f>Language!$E$125</f>
        <v>Wedstrijden</v>
      </c>
      <c r="C1" s="1422"/>
      <c r="D1" s="1422"/>
      <c r="E1" s="1422"/>
      <c r="F1" s="1422"/>
      <c r="G1" s="1422"/>
      <c r="H1" s="1422"/>
      <c r="I1" s="1422"/>
      <c r="J1" s="1422"/>
    </row>
    <row r="2" spans="1:24" ht="18.75" customHeight="1" thickBot="1">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c r="A3" s="110"/>
      <c r="B3" s="109" t="s">
        <v>393</v>
      </c>
      <c r="C3" s="1423" t="s">
        <v>307</v>
      </c>
      <c r="D3" s="1423"/>
      <c r="E3" s="97" t="s">
        <v>396</v>
      </c>
      <c r="F3" s="97" t="s">
        <v>554</v>
      </c>
      <c r="G3" s="183" t="s">
        <v>391</v>
      </c>
      <c r="H3" s="97" t="s">
        <v>392</v>
      </c>
      <c r="I3" s="97" t="s">
        <v>284</v>
      </c>
      <c r="J3" s="97" t="s">
        <v>285</v>
      </c>
      <c r="K3" s="98" t="s">
        <v>402</v>
      </c>
    </row>
    <row r="4" spans="1:24">
      <c r="B4" s="195">
        <v>1</v>
      </c>
      <c r="C4" s="193" t="s">
        <v>171</v>
      </c>
      <c r="D4" s="194" t="s">
        <v>172</v>
      </c>
      <c r="E4" s="175">
        <v>46184.625</v>
      </c>
      <c r="F4" s="70">
        <f>$E4-VLOOKUP($G4,TimeZone!$L$4:$O$19,4,0)+VLOOKUP(TimeZone!$H$1,TimeZone!$C$4:$E$39,3,0)</f>
        <v>46184.875</v>
      </c>
      <c r="G4" s="186">
        <v>14</v>
      </c>
      <c r="H4" s="185" t="str">
        <f>VLOOKUP($G4,Language!$D$103:$E$118,2,0)</f>
        <v>Mexico City</v>
      </c>
      <c r="I4" s="107" t="str">
        <f>VLOOKUP(C4,Groups!$B$7:$D$65,3,0)</f>
        <v>Mexico</v>
      </c>
      <c r="J4" s="107" t="str">
        <f>VLOOKUP(D4,Groups!$B$7:$D$65,3,0)</f>
        <v>Zuid-Afrika</v>
      </c>
      <c r="K4" s="99"/>
      <c r="N4" s="89"/>
    </row>
    <row r="5" spans="1:24">
      <c r="B5" s="195">
        <v>2</v>
      </c>
      <c r="C5" s="193" t="s">
        <v>173</v>
      </c>
      <c r="D5" s="194" t="s">
        <v>1045</v>
      </c>
      <c r="E5" s="175">
        <v>46184.916666666664</v>
      </c>
      <c r="F5" s="70">
        <f>$E5-VLOOKUP($G5,TimeZone!$L$4:$O$19,4,0)+VLOOKUP(TimeZone!$H$1,TimeZone!$C$4:$E$39,3,0)</f>
        <v>46185.166666666664</v>
      </c>
      <c r="G5" s="188">
        <v>15</v>
      </c>
      <c r="H5" s="185" t="str">
        <f>VLOOKUP($G5,Language!$D$103:$E$118,2,0)</f>
        <v>Guadalajara</v>
      </c>
      <c r="I5" s="107" t="str">
        <f>VLOOKUP(C5,Groups!$B$7:$D$65,3,0)</f>
        <v>Zuid-Korea</v>
      </c>
      <c r="J5" s="107" t="str">
        <f>VLOOKUP(D5,Groups!$B$7:$D$65,3,0)</f>
        <v>Tsjechië</v>
      </c>
      <c r="K5" s="99"/>
    </row>
    <row r="6" spans="1:24">
      <c r="B6" s="195">
        <v>3</v>
      </c>
      <c r="C6" s="193" t="s">
        <v>174</v>
      </c>
      <c r="D6" s="194" t="s">
        <v>175</v>
      </c>
      <c r="E6" s="175">
        <v>46185.625</v>
      </c>
      <c r="F6" s="70">
        <f>$E6-VLOOKUP($G6,TimeZone!$L$4:$O$19,4,0)+VLOOKUP(TimeZone!$H$1,TimeZone!$C$4:$E$39,3,0)</f>
        <v>46185.875</v>
      </c>
      <c r="G6" s="188">
        <v>2</v>
      </c>
      <c r="H6" s="185" t="str">
        <f>VLOOKUP($G6,Language!$D$103:$E$118,2,0)</f>
        <v>Toronto</v>
      </c>
      <c r="I6" s="107" t="str">
        <f>VLOOKUP(C6,Groups!$B$7:$D$65,3,0)</f>
        <v>Canada</v>
      </c>
      <c r="J6" s="107" t="str">
        <f>VLOOKUP(D6,Groups!$B$7:$D$65,3,0)</f>
        <v>Bosnië/Herz.</v>
      </c>
      <c r="K6" s="99"/>
    </row>
    <row r="7" spans="1:24">
      <c r="B7" s="195">
        <v>4</v>
      </c>
      <c r="C7" s="193" t="s">
        <v>180</v>
      </c>
      <c r="D7" s="194" t="s">
        <v>181</v>
      </c>
      <c r="E7" s="175">
        <v>46185.875</v>
      </c>
      <c r="F7" s="70">
        <f>$E7-VLOOKUP($G7,TimeZone!$L$4:$O$19,4,0)+VLOOKUP(TimeZone!$H$1,TimeZone!$C$4:$E$39,3,0)</f>
        <v>46186.125</v>
      </c>
      <c r="G7" s="188">
        <v>8</v>
      </c>
      <c r="H7" s="185" t="str">
        <f>VLOOKUP($G7,Language!$D$103:$E$118,2,0)</f>
        <v>Los Angeles</v>
      </c>
      <c r="I7" s="107" t="str">
        <f>VLOOKUP(C7,Groups!$B$7:$D$65,3,0)</f>
        <v>USA</v>
      </c>
      <c r="J7" s="107" t="str">
        <f>VLOOKUP(D7,Groups!$B$7:$D$65,3,0)</f>
        <v>Paraguay</v>
      </c>
      <c r="K7" s="99"/>
    </row>
    <row r="8" spans="1:24">
      <c r="B8" s="195">
        <v>5</v>
      </c>
      <c r="C8" s="193" t="s">
        <v>179</v>
      </c>
      <c r="D8" s="194" t="s">
        <v>1047</v>
      </c>
      <c r="E8" s="175">
        <v>46186.875</v>
      </c>
      <c r="F8" s="70">
        <f>$E8-VLOOKUP($G8,TimeZone!$L$4:$O$19,4,0)+VLOOKUP(TimeZone!$H$1,TimeZone!$C$4:$E$39,3,0)</f>
        <v>46187.125</v>
      </c>
      <c r="G8" s="188">
        <v>12</v>
      </c>
      <c r="H8" s="185" t="str">
        <f>VLOOKUP($G8,Language!$D$103:$E$118,2,0)</f>
        <v>Boston</v>
      </c>
      <c r="I8" s="107" t="str">
        <f>VLOOKUP(C8,Groups!$B$7:$D$65,3,0)</f>
        <v>Haïti</v>
      </c>
      <c r="J8" s="107" t="str">
        <f>VLOOKUP(D8,Groups!$B$7:$D$65,3,0)</f>
        <v>Schotland</v>
      </c>
      <c r="K8" s="99"/>
    </row>
    <row r="9" spans="1:24">
      <c r="B9" s="195">
        <v>6</v>
      </c>
      <c r="C9" s="193" t="s">
        <v>182</v>
      </c>
      <c r="D9" s="194" t="s">
        <v>1048</v>
      </c>
      <c r="E9" s="175">
        <v>46187</v>
      </c>
      <c r="F9" s="70">
        <f>$E9-VLOOKUP($G9,TimeZone!$L$4:$O$19,4,0)+VLOOKUP(TimeZone!$H$1,TimeZone!$C$4:$E$39,3,0)</f>
        <v>46187.25</v>
      </c>
      <c r="G9" s="188">
        <v>1</v>
      </c>
      <c r="H9" s="185" t="str">
        <f>VLOOKUP($G9,Language!$D$103:$E$118,2,0)</f>
        <v>Vancouver</v>
      </c>
      <c r="I9" s="107" t="str">
        <f>VLOOKUP(C9,Groups!$B$7:$D$65,3,0)</f>
        <v>Australië</v>
      </c>
      <c r="J9" s="107" t="str">
        <f>VLOOKUP(D9,Groups!$B$7:$D$65,3,0)</f>
        <v>Turkije</v>
      </c>
      <c r="K9" s="99"/>
    </row>
    <row r="10" spans="1:24">
      <c r="B10" s="195">
        <v>7</v>
      </c>
      <c r="C10" s="193" t="s">
        <v>177</v>
      </c>
      <c r="D10" s="194" t="s">
        <v>178</v>
      </c>
      <c r="E10" s="175">
        <v>46186.75</v>
      </c>
      <c r="F10" s="70">
        <f>$E10-VLOOKUP($G10,TimeZone!$L$4:$O$19,4,0)+VLOOKUP(TimeZone!$H$1,TimeZone!$C$4:$E$39,3,0)</f>
        <v>46187</v>
      </c>
      <c r="G10" s="188">
        <v>3</v>
      </c>
      <c r="H10" s="185" t="str">
        <f>VLOOKUP($G10,Language!$D$103:$E$118,2,0)</f>
        <v>New York/New Jersey</v>
      </c>
      <c r="I10" s="107" t="str">
        <f>VLOOKUP(C10,Groups!$B$7:$D$65,3,0)</f>
        <v>Brazilië</v>
      </c>
      <c r="J10" s="107" t="str">
        <f>VLOOKUP(D10,Groups!$B$7:$D$65,3,0)</f>
        <v>Marokko</v>
      </c>
      <c r="K10" s="99"/>
    </row>
    <row r="11" spans="1:24">
      <c r="B11" s="195">
        <v>8</v>
      </c>
      <c r="C11" s="193" t="s">
        <v>176</v>
      </c>
      <c r="D11" s="194" t="s">
        <v>1046</v>
      </c>
      <c r="E11" s="175">
        <v>46186.625</v>
      </c>
      <c r="F11" s="70">
        <f>$E11-VLOOKUP($G11,TimeZone!$L$4:$O$19,4,0)+VLOOKUP(TimeZone!$H$1,TimeZone!$C$4:$E$39,3,0)</f>
        <v>46186.875</v>
      </c>
      <c r="G11" s="188">
        <v>11</v>
      </c>
      <c r="H11" s="185" t="str">
        <f>VLOOKUP($G11,Language!$D$103:$E$118,2,0)</f>
        <v>San Francisco Bay Area</v>
      </c>
      <c r="I11" s="107" t="str">
        <f>VLOOKUP(C11,Groups!$B$7:$D$65,3,0)</f>
        <v>Qatar</v>
      </c>
      <c r="J11" s="107" t="str">
        <f>VLOOKUP(D11,Groups!$B$7:$D$65,3,0)</f>
        <v>Zwitserland</v>
      </c>
      <c r="K11" s="99"/>
    </row>
    <row r="12" spans="1:24">
      <c r="B12" s="195">
        <v>9</v>
      </c>
      <c r="C12" s="193" t="s">
        <v>185</v>
      </c>
      <c r="D12" s="194" t="s">
        <v>1049</v>
      </c>
      <c r="E12" s="175">
        <v>46187.791666666664</v>
      </c>
      <c r="F12" s="70">
        <f>$E12-VLOOKUP($G12,TimeZone!$L$4:$O$19,4,0)+VLOOKUP(TimeZone!$H$1,TimeZone!$C$4:$E$39,3,0)</f>
        <v>46188.041666666664</v>
      </c>
      <c r="G12" s="188">
        <v>9</v>
      </c>
      <c r="H12" s="185" t="str">
        <f>VLOOKUP($G12,Language!$D$103:$E$118,2,0)</f>
        <v>Philadelphia</v>
      </c>
      <c r="I12" s="107" t="str">
        <f>VLOOKUP(C12,Groups!$B$7:$D$65,3,0)</f>
        <v>Ivoorkust</v>
      </c>
      <c r="J12" s="107" t="str">
        <f>VLOOKUP(D12,Groups!$B$7:$D$65,3,0)</f>
        <v>Ecuador</v>
      </c>
      <c r="K12" s="99"/>
    </row>
    <row r="13" spans="1:24">
      <c r="B13" s="195">
        <v>10</v>
      </c>
      <c r="C13" s="193" t="s">
        <v>183</v>
      </c>
      <c r="D13" s="194" t="s">
        <v>184</v>
      </c>
      <c r="E13" s="175">
        <v>46187.541666666664</v>
      </c>
      <c r="F13" s="70">
        <f>$E13-VLOOKUP($G13,TimeZone!$L$4:$O$19,4,0)+VLOOKUP(TimeZone!$H$1,TimeZone!$C$4:$E$39,3,0)</f>
        <v>46187.791666666664</v>
      </c>
      <c r="G13" s="188">
        <v>6</v>
      </c>
      <c r="H13" s="185" t="str">
        <f>VLOOKUP($G13,Language!$D$103:$E$118,2,0)</f>
        <v>Houston</v>
      </c>
      <c r="I13" s="107" t="str">
        <f>VLOOKUP(C13,Groups!$B$7:$D$65,3,0)</f>
        <v>Duitsland</v>
      </c>
      <c r="J13" s="107" t="str">
        <f>VLOOKUP(D13,Groups!$B$7:$D$65,3,0)</f>
        <v>Curacao</v>
      </c>
      <c r="K13" s="99"/>
    </row>
    <row r="14" spans="1:24">
      <c r="B14" s="195">
        <v>11</v>
      </c>
      <c r="C14" s="193" t="s">
        <v>266</v>
      </c>
      <c r="D14" s="194" t="s">
        <v>267</v>
      </c>
      <c r="E14" s="175">
        <v>46187.666666666664</v>
      </c>
      <c r="F14" s="70">
        <f>$E14-VLOOKUP($G14,TimeZone!$L$4:$O$19,4,0)+VLOOKUP(TimeZone!$H$1,TimeZone!$C$4:$E$39,3,0)</f>
        <v>46187.916666666664</v>
      </c>
      <c r="G14" s="188">
        <v>5</v>
      </c>
      <c r="H14" s="185" t="str">
        <f>VLOOKUP($G14,Language!$D$103:$E$118,2,0)</f>
        <v>Dallas</v>
      </c>
      <c r="I14" s="107" t="str">
        <f>VLOOKUP(C14,Groups!$B$7:$D$65,3,0)</f>
        <v>Nederland</v>
      </c>
      <c r="J14" s="107" t="str">
        <f>VLOOKUP(D14,Groups!$B$7:$D$65,3,0)</f>
        <v>Japan</v>
      </c>
      <c r="K14" s="99"/>
    </row>
    <row r="15" spans="1:24">
      <c r="B15" s="195">
        <v>12</v>
      </c>
      <c r="C15" s="193" t="s">
        <v>268</v>
      </c>
      <c r="D15" s="194" t="s">
        <v>1050</v>
      </c>
      <c r="E15" s="175">
        <v>46187.916666666664</v>
      </c>
      <c r="F15" s="70">
        <f>$E15-VLOOKUP($G15,TimeZone!$L$4:$O$19,4,0)+VLOOKUP(TimeZone!$H$1,TimeZone!$C$4:$E$39,3,0)</f>
        <v>46188.166666666664</v>
      </c>
      <c r="G15" s="188">
        <v>16</v>
      </c>
      <c r="H15" s="185" t="str">
        <f>VLOOKUP($G15,Language!$D$103:$E$118,2,0)</f>
        <v>Monterrey</v>
      </c>
      <c r="I15" s="107" t="str">
        <f>VLOOKUP(C15,Groups!$B$7:$D$65,3,0)</f>
        <v>Zweden</v>
      </c>
      <c r="J15" s="107" t="str">
        <f>VLOOKUP(D15,Groups!$B$7:$D$65,3,0)</f>
        <v>Tunesië</v>
      </c>
      <c r="K15" s="99"/>
    </row>
    <row r="16" spans="1:24">
      <c r="B16" s="195">
        <v>13</v>
      </c>
      <c r="C16" s="193" t="s">
        <v>271</v>
      </c>
      <c r="D16" s="194" t="s">
        <v>1052</v>
      </c>
      <c r="E16" s="175">
        <v>46188.75</v>
      </c>
      <c r="F16" s="70">
        <f>$E16-VLOOKUP($G16,TimeZone!$L$4:$O$19,4,0)+VLOOKUP(TimeZone!$H$1,TimeZone!$C$4:$E$39,3,0)</f>
        <v>46189</v>
      </c>
      <c r="G16" s="188">
        <v>13</v>
      </c>
      <c r="H16" s="185" t="str">
        <f>VLOOKUP($G16,Language!$D$103:$E$118,2,0)</f>
        <v>Miami</v>
      </c>
      <c r="I16" s="107" t="str">
        <f>VLOOKUP(C16,Groups!$B$7:$D$65,3,0)</f>
        <v>Saoedi-Arabië</v>
      </c>
      <c r="J16" s="107" t="str">
        <f>VLOOKUP(D16,Groups!$B$7:$D$65,3,0)</f>
        <v>Uruguay</v>
      </c>
      <c r="K16" s="99"/>
    </row>
    <row r="17" spans="2:24">
      <c r="B17" s="195">
        <v>14</v>
      </c>
      <c r="C17" s="193" t="s">
        <v>269</v>
      </c>
      <c r="D17" s="194" t="s">
        <v>270</v>
      </c>
      <c r="E17" s="175">
        <v>46188.5</v>
      </c>
      <c r="F17" s="70">
        <f>$E17-VLOOKUP($G17,TimeZone!$L$4:$O$19,4,0)+VLOOKUP(TimeZone!$H$1,TimeZone!$C$4:$E$39,3,0)</f>
        <v>46188.75</v>
      </c>
      <c r="G17" s="188">
        <v>7</v>
      </c>
      <c r="H17" s="185" t="str">
        <f>VLOOKUP($G17,Language!$D$103:$E$118,2,0)</f>
        <v>Atlanta</v>
      </c>
      <c r="I17" s="107" t="str">
        <f>VLOOKUP(C17,Groups!$B$7:$D$65,3,0)</f>
        <v>Spanje</v>
      </c>
      <c r="J17" s="107" t="str">
        <f>VLOOKUP(D17,Groups!$B$7:$D$65,3,0)</f>
        <v>Kaapverdië</v>
      </c>
      <c r="K17" s="99"/>
    </row>
    <row r="18" spans="2:24">
      <c r="B18" s="195">
        <v>15</v>
      </c>
      <c r="C18" s="193" t="s">
        <v>188</v>
      </c>
      <c r="D18" s="194" t="s">
        <v>1051</v>
      </c>
      <c r="E18" s="175">
        <v>46188.875</v>
      </c>
      <c r="F18" s="70">
        <f>$E18-VLOOKUP($G18,TimeZone!$L$4:$O$19,4,0)+VLOOKUP(TimeZone!$H$1,TimeZone!$C$4:$E$39,3,0)</f>
        <v>46189.125</v>
      </c>
      <c r="G18" s="188">
        <v>8</v>
      </c>
      <c r="H18" s="185" t="str">
        <f>VLOOKUP($G18,Language!$D$103:$E$118,2,0)</f>
        <v>Los Angeles</v>
      </c>
      <c r="I18" s="107" t="str">
        <f>VLOOKUP(C18,Groups!$B$7:$D$65,3,0)</f>
        <v>Iran</v>
      </c>
      <c r="J18" s="107" t="str">
        <f>VLOOKUP(D18,Groups!$B$7:$D$65,3,0)</f>
        <v>Nieuw-Zeeland</v>
      </c>
      <c r="K18" s="99"/>
    </row>
    <row r="19" spans="2:24">
      <c r="B19" s="195">
        <v>16</v>
      </c>
      <c r="C19" s="193" t="s">
        <v>186</v>
      </c>
      <c r="D19" s="194" t="s">
        <v>187</v>
      </c>
      <c r="E19" s="175">
        <v>46188.625</v>
      </c>
      <c r="F19" s="70">
        <f>$E19-VLOOKUP($G19,TimeZone!$L$4:$O$19,4,0)+VLOOKUP(TimeZone!$H$1,TimeZone!$C$4:$E$39,3,0)</f>
        <v>46188.875</v>
      </c>
      <c r="G19" s="188">
        <v>10</v>
      </c>
      <c r="H19" s="185" t="str">
        <f>VLOOKUP($G19,Language!$D$103:$E$118,2,0)</f>
        <v>Seattle</v>
      </c>
      <c r="I19" s="107" t="str">
        <f>VLOOKUP(C19,Groups!$B$7:$D$65,3,0)</f>
        <v>België</v>
      </c>
      <c r="J19" s="107" t="str">
        <f>VLOOKUP(D19,Groups!$B$7:$D$65,3,0)</f>
        <v>Egypte</v>
      </c>
      <c r="K19" s="99"/>
    </row>
    <row r="20" spans="2:24">
      <c r="B20" s="195">
        <v>17</v>
      </c>
      <c r="C20" s="193" t="s">
        <v>842</v>
      </c>
      <c r="D20" s="194" t="s">
        <v>843</v>
      </c>
      <c r="E20" s="175">
        <v>46189.625</v>
      </c>
      <c r="F20" s="70">
        <f>$E20-VLOOKUP($G20,TimeZone!$L$4:$O$19,4,0)+VLOOKUP(TimeZone!$H$1,TimeZone!$C$4:$E$39,3,0)</f>
        <v>46189.875</v>
      </c>
      <c r="G20" s="188">
        <v>3</v>
      </c>
      <c r="H20" s="185" t="str">
        <f>VLOOKUP($G20,Language!$D$103:$E$118,2,0)</f>
        <v>New York/New Jersey</v>
      </c>
      <c r="I20" s="107" t="str">
        <f>VLOOKUP(C20,Groups!$B$7:$D$65,3,0)</f>
        <v>Frankrijk</v>
      </c>
      <c r="J20" s="107" t="str">
        <f>VLOOKUP(D20,Groups!$B$7:$D$65,3,0)</f>
        <v>Senegal</v>
      </c>
      <c r="K20" s="99"/>
      <c r="M20" s="199"/>
      <c r="N20" s="199"/>
      <c r="O20" s="199"/>
      <c r="P20" s="199"/>
      <c r="Q20" s="199"/>
      <c r="R20" s="199"/>
      <c r="S20" s="199"/>
      <c r="T20" s="199"/>
      <c r="U20" s="199"/>
      <c r="V20" s="199"/>
      <c r="W20" s="199"/>
      <c r="X20" s="199"/>
    </row>
    <row r="21" spans="2:24">
      <c r="B21" s="195">
        <v>18</v>
      </c>
      <c r="C21" s="193" t="s">
        <v>844</v>
      </c>
      <c r="D21" s="194" t="s">
        <v>1053</v>
      </c>
      <c r="E21" s="175">
        <v>46189.75</v>
      </c>
      <c r="F21" s="70">
        <f>$E21-VLOOKUP($G21,TimeZone!$L$4:$O$19,4,0)+VLOOKUP(TimeZone!$H$1,TimeZone!$C$4:$E$39,3,0)</f>
        <v>46190</v>
      </c>
      <c r="G21" s="188">
        <v>12</v>
      </c>
      <c r="H21" s="185" t="str">
        <f>VLOOKUP($G21,Language!$D$103:$E$118,2,0)</f>
        <v>Boston</v>
      </c>
      <c r="I21" s="107" t="str">
        <f>VLOOKUP(C21,Groups!$B$7:$D$65,3,0)</f>
        <v>Irak</v>
      </c>
      <c r="J21" s="107" t="str">
        <f>VLOOKUP(D21,Groups!$B$7:$D$65,3,0)</f>
        <v>Noorwegen</v>
      </c>
      <c r="K21" s="99"/>
      <c r="M21" s="199"/>
      <c r="N21" s="199"/>
      <c r="O21" s="199"/>
      <c r="P21" s="199"/>
      <c r="Q21" s="199"/>
      <c r="R21" s="199"/>
      <c r="S21" s="199"/>
      <c r="T21" s="199"/>
      <c r="U21" s="199"/>
      <c r="V21" s="199"/>
      <c r="W21" s="199"/>
      <c r="X21" s="199"/>
    </row>
    <row r="22" spans="2:24">
      <c r="B22" s="195">
        <v>19</v>
      </c>
      <c r="C22" s="193" t="s">
        <v>845</v>
      </c>
      <c r="D22" s="194" t="s">
        <v>846</v>
      </c>
      <c r="E22" s="175">
        <v>46189.875</v>
      </c>
      <c r="F22" s="70">
        <f>$E22-VLOOKUP($G22,TimeZone!$L$4:$O$19,4,0)+VLOOKUP(TimeZone!$H$1,TimeZone!$C$4:$E$39,3,0)</f>
        <v>46190.125</v>
      </c>
      <c r="G22" s="188">
        <v>4</v>
      </c>
      <c r="H22" s="185" t="str">
        <f>VLOOKUP($G22,Language!$D$103:$E$118,2,0)</f>
        <v>Kansas City</v>
      </c>
      <c r="I22" s="107" t="str">
        <f>VLOOKUP(C22,Groups!$B$7:$D$65,3,0)</f>
        <v>Argentinië</v>
      </c>
      <c r="J22" s="107" t="str">
        <f>VLOOKUP(D22,Groups!$B$7:$D$65,3,0)</f>
        <v>Algerije</v>
      </c>
      <c r="K22" s="99"/>
      <c r="M22" s="199"/>
      <c r="N22" s="199"/>
      <c r="O22" s="199"/>
      <c r="P22" s="199"/>
      <c r="Q22" s="199"/>
      <c r="R22" s="199"/>
      <c r="S22" s="199"/>
      <c r="T22" s="199"/>
      <c r="U22" s="199"/>
      <c r="V22" s="199"/>
      <c r="W22" s="199"/>
      <c r="X22" s="199"/>
    </row>
    <row r="23" spans="2:24">
      <c r="B23" s="195">
        <v>20</v>
      </c>
      <c r="C23" s="193" t="s">
        <v>847</v>
      </c>
      <c r="D23" s="194" t="s">
        <v>1054</v>
      </c>
      <c r="E23" s="175">
        <v>46190</v>
      </c>
      <c r="F23" s="70">
        <f>$E23-VLOOKUP($G23,TimeZone!$L$4:$O$19,4,0)+VLOOKUP(TimeZone!$H$1,TimeZone!$C$4:$E$39,3,0)</f>
        <v>46190.25</v>
      </c>
      <c r="G23" s="188">
        <v>11</v>
      </c>
      <c r="H23" s="185" t="str">
        <f>VLOOKUP($G23,Language!$D$103:$E$118,2,0)</f>
        <v>San Francisco Bay Area</v>
      </c>
      <c r="I23" s="107" t="str">
        <f>VLOOKUP(C23,Groups!$B$7:$D$65,3,0)</f>
        <v>Oostenrijk</v>
      </c>
      <c r="J23" s="107" t="str">
        <f>VLOOKUP(D23,Groups!$B$7:$D$65,3,0)</f>
        <v>Jordanië</v>
      </c>
      <c r="K23" s="99"/>
      <c r="M23" s="199"/>
      <c r="N23" s="199"/>
      <c r="O23" s="199"/>
      <c r="P23" s="199"/>
      <c r="Q23" s="199"/>
      <c r="R23" s="199"/>
      <c r="S23" s="199"/>
      <c r="T23" s="199"/>
      <c r="U23" s="199"/>
      <c r="V23" s="199"/>
      <c r="W23" s="199"/>
      <c r="X23" s="199"/>
    </row>
    <row r="24" spans="2:24">
      <c r="B24" s="195">
        <v>21</v>
      </c>
      <c r="C24" s="193" t="s">
        <v>853</v>
      </c>
      <c r="D24" s="194" t="s">
        <v>1056</v>
      </c>
      <c r="E24" s="175">
        <v>46190.791666666664</v>
      </c>
      <c r="F24" s="70">
        <f>$E24-VLOOKUP($G24,TimeZone!$L$4:$O$19,4,0)+VLOOKUP(TimeZone!$H$1,TimeZone!$C$4:$E$39,3,0)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c r="B25" s="195">
        <v>22</v>
      </c>
      <c r="C25" s="193" t="s">
        <v>851</v>
      </c>
      <c r="D25" s="194" t="s">
        <v>852</v>
      </c>
      <c r="E25" s="175">
        <v>46190.666666666664</v>
      </c>
      <c r="F25" s="70">
        <f>$E25-VLOOKUP($G25,TimeZone!$L$4:$O$19,4,0)+VLOOKUP(TimeZone!$H$1,TimeZone!$C$4:$E$39,3,0)</f>
        <v>46190.916666666664</v>
      </c>
      <c r="G25" s="188">
        <v>5</v>
      </c>
      <c r="H25" s="185" t="str">
        <f>VLOOKUP($G25,Language!$D$103:$E$118,2,0)</f>
        <v>Dallas</v>
      </c>
      <c r="I25" s="107" t="str">
        <f>VLOOKUP(C25,Groups!$B$7:$D$65,3,0)</f>
        <v>Engeland</v>
      </c>
      <c r="J25" s="107" t="str">
        <f>VLOOKUP(D25,Groups!$B$7:$D$65,3,0)</f>
        <v>Kroatië</v>
      </c>
      <c r="K25" s="99"/>
      <c r="M25" s="199"/>
      <c r="N25" s="199"/>
      <c r="O25" s="199"/>
      <c r="P25" s="199"/>
      <c r="Q25" s="199"/>
      <c r="R25" s="199"/>
      <c r="S25" s="199"/>
      <c r="T25" s="199"/>
      <c r="U25" s="199"/>
      <c r="V25" s="199"/>
      <c r="W25" s="199"/>
      <c r="X25" s="199"/>
    </row>
    <row r="26" spans="2:24">
      <c r="B26" s="195">
        <v>23</v>
      </c>
      <c r="C26" s="193" t="s">
        <v>848</v>
      </c>
      <c r="D26" s="194" t="s">
        <v>849</v>
      </c>
      <c r="E26" s="175">
        <v>46190.541666666664</v>
      </c>
      <c r="F26" s="70">
        <f>$E26-VLOOKUP($G26,TimeZone!$L$4:$O$19,4,0)+VLOOKUP(TimeZone!$H$1,TimeZone!$C$4:$E$39,3,0)</f>
        <v>46190.791666666664</v>
      </c>
      <c r="G26" s="188">
        <v>6</v>
      </c>
      <c r="H26" s="185" t="str">
        <f>VLOOKUP($G26,Language!$D$103:$E$118,2,0)</f>
        <v>Houston</v>
      </c>
      <c r="I26" s="107" t="str">
        <f>VLOOKUP(C26,Groups!$B$7:$D$65,3,0)</f>
        <v>Portugal</v>
      </c>
      <c r="J26" s="107" t="str">
        <f>VLOOKUP(D26,Groups!$B$7:$D$65,3,0)</f>
        <v>Congo</v>
      </c>
      <c r="K26" s="99"/>
      <c r="M26" s="199"/>
      <c r="N26" s="199"/>
      <c r="O26" s="199"/>
      <c r="P26" s="199"/>
      <c r="Q26" s="199"/>
      <c r="R26" s="199"/>
      <c r="S26" s="199"/>
      <c r="T26" s="199"/>
      <c r="U26" s="199"/>
      <c r="V26" s="199"/>
      <c r="W26" s="199"/>
      <c r="X26" s="199"/>
    </row>
    <row r="27" spans="2:24">
      <c r="B27" s="195">
        <v>24</v>
      </c>
      <c r="C27" s="193" t="s">
        <v>850</v>
      </c>
      <c r="D27" s="194" t="s">
        <v>1055</v>
      </c>
      <c r="E27" s="175">
        <v>46190.916666666664</v>
      </c>
      <c r="F27" s="70">
        <f>$E27-VLOOKUP($G27,TimeZone!$L$4:$O$19,4,0)+VLOOKUP(TimeZone!$H$1,TimeZone!$C$4:$E$39,3,0)</f>
        <v>46191.166666666664</v>
      </c>
      <c r="G27" s="186">
        <v>14</v>
      </c>
      <c r="H27" s="185" t="str">
        <f>VLOOKUP($G27,Language!$D$103:$E$118,2,0)</f>
        <v>Mexico City</v>
      </c>
      <c r="I27" s="107" t="str">
        <f>VLOOKUP(C27,Groups!$B$7:$D$65,3,0)</f>
        <v>Oezbekistan</v>
      </c>
      <c r="J27" s="107" t="str">
        <f>VLOOKUP(D27,Groups!$B$7:$D$65,3,0)</f>
        <v>Colombia</v>
      </c>
      <c r="K27" s="99"/>
      <c r="M27" s="199"/>
      <c r="N27" s="199"/>
      <c r="O27" s="199"/>
      <c r="P27" s="199"/>
      <c r="Q27" s="199"/>
      <c r="R27" s="199"/>
      <c r="S27" s="199"/>
      <c r="T27" s="199"/>
      <c r="U27" s="199"/>
      <c r="V27" s="199"/>
      <c r="W27" s="199"/>
      <c r="X27" s="199"/>
    </row>
    <row r="28" spans="2:24">
      <c r="B28" s="195">
        <v>25</v>
      </c>
      <c r="C28" s="193" t="s">
        <v>1045</v>
      </c>
      <c r="D28" s="194" t="s">
        <v>172</v>
      </c>
      <c r="E28" s="175">
        <v>46191.5</v>
      </c>
      <c r="F28" s="70">
        <f>$E28-VLOOKUP($G28,TimeZone!$L$4:$O$19,4,0)+VLOOKUP(TimeZone!$H$1,TimeZone!$C$4:$E$39,3,0)</f>
        <v>46191.75</v>
      </c>
      <c r="G28" s="188">
        <v>7</v>
      </c>
      <c r="H28" s="185" t="str">
        <f>VLOOKUP($G28,Language!$D$103:$E$118,2,0)</f>
        <v>Atlanta</v>
      </c>
      <c r="I28" s="107" t="str">
        <f>VLOOKUP(C28,Groups!$B$7:$D$65,3,0)</f>
        <v>Tsjechië</v>
      </c>
      <c r="J28" s="107" t="str">
        <f>VLOOKUP(D28,Groups!$B$7:$D$65,3,0)</f>
        <v>Zuid-Afrika</v>
      </c>
      <c r="K28" s="99"/>
      <c r="M28" s="199"/>
      <c r="N28" s="199"/>
      <c r="O28" s="199"/>
      <c r="P28" s="199"/>
      <c r="Q28" s="199"/>
      <c r="R28" s="199"/>
      <c r="S28" s="199"/>
      <c r="T28" s="199"/>
      <c r="U28" s="199"/>
      <c r="V28" s="199"/>
      <c r="W28" s="199"/>
      <c r="X28" s="199"/>
    </row>
    <row r="29" spans="2:24">
      <c r="B29" s="195">
        <v>26</v>
      </c>
      <c r="C29" s="193" t="s">
        <v>1046</v>
      </c>
      <c r="D29" s="194" t="s">
        <v>175</v>
      </c>
      <c r="E29" s="175">
        <v>46191.625</v>
      </c>
      <c r="F29" s="70">
        <f>$E29-VLOOKUP($G29,TimeZone!$L$4:$O$19,4,0)+VLOOKUP(TimeZone!$H$1,TimeZone!$C$4:$E$39,3,0)</f>
        <v>46191.875</v>
      </c>
      <c r="G29" s="188">
        <v>8</v>
      </c>
      <c r="H29" s="185" t="str">
        <f>VLOOKUP($G29,Language!$D$103:$E$118,2,0)</f>
        <v>Los Angeles</v>
      </c>
      <c r="I29" s="107" t="str">
        <f>VLOOKUP(C29,Groups!$B$7:$D$65,3,0)</f>
        <v>Zwitserland</v>
      </c>
      <c r="J29" s="107" t="str">
        <f>VLOOKUP(D29,Groups!$B$7:$D$65,3,0)</f>
        <v>Bosnië/Herz.</v>
      </c>
      <c r="K29" s="99"/>
      <c r="M29" s="199"/>
      <c r="N29" s="199"/>
      <c r="O29" s="199"/>
      <c r="P29" s="199"/>
      <c r="Q29" s="199"/>
      <c r="R29" s="199"/>
      <c r="S29" s="199"/>
      <c r="T29" s="199"/>
      <c r="U29" s="199"/>
      <c r="V29" s="199"/>
      <c r="W29" s="199"/>
      <c r="X29" s="199"/>
    </row>
    <row r="30" spans="2:24">
      <c r="B30" s="195">
        <v>27</v>
      </c>
      <c r="C30" s="193" t="s">
        <v>174</v>
      </c>
      <c r="D30" s="194" t="s">
        <v>176</v>
      </c>
      <c r="E30" s="175">
        <v>46191.75</v>
      </c>
      <c r="F30" s="70">
        <f>$E30-VLOOKUP($G30,TimeZone!$L$4:$O$19,4,0)+VLOOKUP(TimeZone!$H$1,TimeZone!$C$4:$E$39,3,0)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c r="B31" s="195">
        <v>28</v>
      </c>
      <c r="C31" s="193" t="s">
        <v>171</v>
      </c>
      <c r="D31" s="194" t="s">
        <v>173</v>
      </c>
      <c r="E31" s="175">
        <v>46191.875</v>
      </c>
      <c r="F31" s="70">
        <f>$E31-VLOOKUP($G31,TimeZone!$L$4:$O$19,4,0)+VLOOKUP(TimeZone!$H$1,TimeZone!$C$4:$E$39,3,0)</f>
        <v>46192.125</v>
      </c>
      <c r="G31" s="188">
        <v>15</v>
      </c>
      <c r="H31" s="185" t="str">
        <f>VLOOKUP($G31,Language!$D$103:$E$118,2,0)</f>
        <v>Guadalajara</v>
      </c>
      <c r="I31" s="107" t="str">
        <f>VLOOKUP(C31,Groups!$B$7:$D$65,3,0)</f>
        <v>Mexico</v>
      </c>
      <c r="J31" s="107" t="str">
        <f>VLOOKUP(D31,Groups!$B$7:$D$65,3,0)</f>
        <v>Zuid-Korea</v>
      </c>
      <c r="K31" s="99"/>
      <c r="M31" s="199"/>
      <c r="N31" s="199"/>
      <c r="O31" s="199"/>
      <c r="P31" s="199"/>
      <c r="Q31" s="199"/>
      <c r="R31" s="199"/>
      <c r="S31" s="199"/>
      <c r="T31" s="199"/>
      <c r="U31" s="199"/>
      <c r="V31" s="199"/>
      <c r="W31" s="199"/>
      <c r="X31" s="199"/>
    </row>
    <row r="32" spans="2:24">
      <c r="B32" s="195">
        <v>29</v>
      </c>
      <c r="C32" s="193" t="s">
        <v>177</v>
      </c>
      <c r="D32" s="194" t="s">
        <v>179</v>
      </c>
      <c r="E32" s="175">
        <v>46192.875</v>
      </c>
      <c r="F32" s="70">
        <f>$E32-VLOOKUP($G32,TimeZone!$L$4:$O$19,4,0)+VLOOKUP(TimeZone!$H$1,TimeZone!$C$4:$E$39,3,0)</f>
        <v>46193.125</v>
      </c>
      <c r="G32" s="188">
        <v>9</v>
      </c>
      <c r="H32" s="185" t="str">
        <f>VLOOKUP($G32,Language!$D$103:$E$118,2,0)</f>
        <v>Philadelphia</v>
      </c>
      <c r="I32" s="107" t="str">
        <f>VLOOKUP(C32,Groups!$B$7:$D$65,3,0)</f>
        <v>Brazilië</v>
      </c>
      <c r="J32" s="107" t="str">
        <f>VLOOKUP(D32,Groups!$B$7:$D$65,3,0)</f>
        <v>Haïti</v>
      </c>
      <c r="K32" s="99"/>
      <c r="M32" s="199"/>
      <c r="N32" s="199"/>
      <c r="O32" s="199"/>
      <c r="P32" s="199"/>
      <c r="Q32" s="199"/>
      <c r="R32" s="199"/>
      <c r="S32" s="199"/>
      <c r="T32" s="199"/>
      <c r="U32" s="199"/>
      <c r="V32" s="199"/>
      <c r="W32" s="199"/>
      <c r="X32" s="199"/>
    </row>
    <row r="33" spans="2:24">
      <c r="B33" s="195">
        <v>30</v>
      </c>
      <c r="C33" s="193" t="s">
        <v>1047</v>
      </c>
      <c r="D33" s="194" t="s">
        <v>178</v>
      </c>
      <c r="E33" s="175">
        <v>46192.75</v>
      </c>
      <c r="F33" s="70">
        <f>$E33-VLOOKUP($G33,TimeZone!$L$4:$O$19,4,0)+VLOOKUP(TimeZone!$H$1,TimeZone!$C$4:$E$39,3,0)</f>
        <v>46193</v>
      </c>
      <c r="G33" s="188">
        <v>12</v>
      </c>
      <c r="H33" s="185" t="str">
        <f>VLOOKUP($G33,Language!$D$103:$E$118,2,0)</f>
        <v>Boston</v>
      </c>
      <c r="I33" s="107" t="str">
        <f>VLOOKUP(C33,Groups!$B$7:$D$65,3,0)</f>
        <v>Schotland</v>
      </c>
      <c r="J33" s="107" t="str">
        <f>VLOOKUP(D33,Groups!$B$7:$D$65,3,0)</f>
        <v>Marokko</v>
      </c>
      <c r="K33" s="99"/>
      <c r="M33" s="199"/>
      <c r="N33" s="199"/>
      <c r="O33" s="199"/>
      <c r="P33" s="199"/>
      <c r="Q33" s="199"/>
      <c r="R33" s="199"/>
      <c r="S33" s="199"/>
      <c r="T33" s="199"/>
      <c r="U33" s="199"/>
      <c r="V33" s="199"/>
      <c r="W33" s="199"/>
      <c r="X33" s="199"/>
    </row>
    <row r="34" spans="2:24">
      <c r="B34" s="195">
        <v>31</v>
      </c>
      <c r="C34" s="193" t="s">
        <v>1048</v>
      </c>
      <c r="D34" s="194" t="s">
        <v>181</v>
      </c>
      <c r="E34" s="175">
        <v>46193</v>
      </c>
      <c r="F34" s="70">
        <f>$E34-VLOOKUP($G34,TimeZone!$L$4:$O$19,4,0)+VLOOKUP(TimeZone!$H$1,TimeZone!$C$4:$E$39,3,0)</f>
        <v>46193.25</v>
      </c>
      <c r="G34" s="188">
        <v>11</v>
      </c>
      <c r="H34" s="185" t="str">
        <f>VLOOKUP($G34,Language!$D$103:$E$118,2,0)</f>
        <v>San Francisco Bay Area</v>
      </c>
      <c r="I34" s="107" t="str">
        <f>VLOOKUP(C34,Groups!$B$7:$D$65,3,0)</f>
        <v>Turkije</v>
      </c>
      <c r="J34" s="107" t="str">
        <f>VLOOKUP(D34,Groups!$B$7:$D$65,3,0)</f>
        <v>Paraguay</v>
      </c>
      <c r="K34" s="99"/>
      <c r="M34" s="199"/>
      <c r="N34" s="199"/>
      <c r="O34" s="199"/>
      <c r="P34" s="199"/>
      <c r="Q34" s="199"/>
      <c r="R34" s="199"/>
      <c r="S34" s="199"/>
      <c r="T34" s="199"/>
      <c r="U34" s="199"/>
      <c r="V34" s="199"/>
      <c r="W34" s="199"/>
      <c r="X34" s="199"/>
    </row>
    <row r="35" spans="2:24">
      <c r="B35" s="195">
        <v>32</v>
      </c>
      <c r="C35" s="193" t="s">
        <v>180</v>
      </c>
      <c r="D35" s="194" t="s">
        <v>182</v>
      </c>
      <c r="E35" s="175">
        <v>46192.625</v>
      </c>
      <c r="F35" s="70">
        <f>$E35-VLOOKUP($G35,TimeZone!$L$4:$O$19,4,0)+VLOOKUP(TimeZone!$H$1,TimeZone!$C$4:$E$39,3,0)</f>
        <v>46192.875</v>
      </c>
      <c r="G35" s="188">
        <v>10</v>
      </c>
      <c r="H35" s="185" t="str">
        <f>VLOOKUP($G35,Language!$D$103:$E$118,2,0)</f>
        <v>Seattle</v>
      </c>
      <c r="I35" s="107" t="str">
        <f>VLOOKUP(C35,Groups!$B$7:$D$65,3,0)</f>
        <v>USA</v>
      </c>
      <c r="J35" s="107" t="str">
        <f>VLOOKUP(D35,Groups!$B$7:$D$65,3,0)</f>
        <v>Australië</v>
      </c>
      <c r="K35" s="99"/>
      <c r="M35" s="199"/>
      <c r="N35" s="199"/>
      <c r="O35" s="199"/>
      <c r="P35" s="199"/>
      <c r="Q35" s="199"/>
      <c r="R35" s="199"/>
      <c r="S35" s="199"/>
      <c r="T35" s="199"/>
      <c r="U35" s="199"/>
      <c r="V35" s="199"/>
      <c r="W35" s="199"/>
      <c r="X35" s="199"/>
    </row>
    <row r="36" spans="2:24">
      <c r="B36" s="195">
        <v>33</v>
      </c>
      <c r="C36" s="193" t="s">
        <v>183</v>
      </c>
      <c r="D36" s="194" t="s">
        <v>185</v>
      </c>
      <c r="E36" s="175">
        <v>46193.666666666664</v>
      </c>
      <c r="F36" s="70">
        <f>$E36-VLOOKUP($G36,TimeZone!$L$4:$O$19,4,0)+VLOOKUP(TimeZone!$H$1,TimeZone!$C$4:$E$39,3,0)</f>
        <v>46193.916666666664</v>
      </c>
      <c r="G36" s="188">
        <v>2</v>
      </c>
      <c r="H36" s="185" t="str">
        <f>VLOOKUP($G36,Language!$D$103:$E$118,2,0)</f>
        <v>Toronto</v>
      </c>
      <c r="I36" s="107" t="str">
        <f>VLOOKUP(C36,Groups!$B$7:$D$65,3,0)</f>
        <v>Duitsland</v>
      </c>
      <c r="J36" s="107" t="str">
        <f>VLOOKUP(D36,Groups!$B$7:$D$65,3,0)</f>
        <v>Ivoorkust</v>
      </c>
      <c r="K36" s="99"/>
    </row>
    <row r="37" spans="2:24">
      <c r="B37" s="195">
        <v>34</v>
      </c>
      <c r="C37" s="193" t="s">
        <v>1049</v>
      </c>
      <c r="D37" s="194" t="s">
        <v>184</v>
      </c>
      <c r="E37" s="175">
        <v>46193.833333333336</v>
      </c>
      <c r="F37" s="70">
        <f>$E37-VLOOKUP($G37,TimeZone!$L$4:$O$19,4,0)+VLOOKUP(TimeZone!$H$1,TimeZone!$C$4:$E$39,3,0)</f>
        <v>46194.083333333336</v>
      </c>
      <c r="G37" s="188">
        <v>4</v>
      </c>
      <c r="H37" s="185" t="str">
        <f>VLOOKUP($G37,Language!$D$103:$E$118,2,0)</f>
        <v>Kansas City</v>
      </c>
      <c r="I37" s="107" t="str">
        <f>VLOOKUP(C37,Groups!$B$7:$D$65,3,0)</f>
        <v>Ecuador</v>
      </c>
      <c r="J37" s="107" t="str">
        <f>VLOOKUP(D37,Groups!$B$7:$D$65,3,0)</f>
        <v>Curacao</v>
      </c>
      <c r="K37" s="99"/>
    </row>
    <row r="38" spans="2:24">
      <c r="B38" s="195">
        <v>35</v>
      </c>
      <c r="C38" s="193" t="s">
        <v>266</v>
      </c>
      <c r="D38" s="194" t="s">
        <v>268</v>
      </c>
      <c r="E38" s="175">
        <v>46193.541666666664</v>
      </c>
      <c r="F38" s="70">
        <f>$E38-VLOOKUP($G38,TimeZone!$L$4:$O$19,4,0)+VLOOKUP(TimeZone!$H$1,TimeZone!$C$4:$E$39,3,0)</f>
        <v>46193.791666666664</v>
      </c>
      <c r="G38" s="188">
        <v>6</v>
      </c>
      <c r="H38" s="185" t="str">
        <f>VLOOKUP($G38,Language!$D$103:$E$118,2,0)</f>
        <v>Houston</v>
      </c>
      <c r="I38" s="107" t="str">
        <f>VLOOKUP(C38,Groups!$B$7:$D$65,3,0)</f>
        <v>Nederland</v>
      </c>
      <c r="J38" s="107" t="str">
        <f>VLOOKUP(D38,Groups!$B$7:$D$65,3,0)</f>
        <v>Zweden</v>
      </c>
      <c r="K38" s="99"/>
    </row>
    <row r="39" spans="2:24">
      <c r="B39" s="195">
        <v>36</v>
      </c>
      <c r="C39" s="193" t="s">
        <v>1050</v>
      </c>
      <c r="D39" s="194" t="s">
        <v>267</v>
      </c>
      <c r="E39" s="175">
        <v>46194</v>
      </c>
      <c r="F39" s="70">
        <f>$E39-VLOOKUP($G39,TimeZone!$L$4:$O$19,4,0)+VLOOKUP(TimeZone!$H$1,TimeZone!$C$4:$E$39,3,0)</f>
        <v>46194.25</v>
      </c>
      <c r="G39" s="188">
        <v>16</v>
      </c>
      <c r="H39" s="185" t="str">
        <f>VLOOKUP($G39,Language!$D$103:$E$118,2,0)</f>
        <v>Monterrey</v>
      </c>
      <c r="I39" s="107" t="str">
        <f>VLOOKUP(C39,Groups!$B$7:$D$65,3,0)</f>
        <v>Tunesië</v>
      </c>
      <c r="J39" s="107" t="str">
        <f>VLOOKUP(D39,Groups!$B$7:$D$65,3,0)</f>
        <v>Japan</v>
      </c>
      <c r="K39" s="99"/>
    </row>
    <row r="40" spans="2:24">
      <c r="B40" s="195">
        <v>37</v>
      </c>
      <c r="C40" s="193" t="s">
        <v>1052</v>
      </c>
      <c r="D40" s="194" t="s">
        <v>270</v>
      </c>
      <c r="E40" s="175">
        <v>46194.75</v>
      </c>
      <c r="F40" s="70">
        <f>$E40-VLOOKUP($G40,TimeZone!$L$4:$O$19,4,0)+VLOOKUP(TimeZone!$H$1,TimeZone!$C$4:$E$39,3,0)</f>
        <v>46195</v>
      </c>
      <c r="G40" s="188">
        <v>13</v>
      </c>
      <c r="H40" s="185" t="str">
        <f>VLOOKUP($G40,Language!$D$103:$E$118,2,0)</f>
        <v>Miami</v>
      </c>
      <c r="I40" s="107" t="str">
        <f>VLOOKUP(C40,Groups!$B$7:$D$65,3,0)</f>
        <v>Uruguay</v>
      </c>
      <c r="J40" s="107" t="str">
        <f>VLOOKUP(D40,Groups!$B$7:$D$65,3,0)</f>
        <v>Kaapverdië</v>
      </c>
      <c r="K40" s="99"/>
    </row>
    <row r="41" spans="2:24">
      <c r="B41" s="195">
        <v>38</v>
      </c>
      <c r="C41" s="193" t="s">
        <v>269</v>
      </c>
      <c r="D41" s="194" t="s">
        <v>271</v>
      </c>
      <c r="E41" s="175">
        <v>46194.5</v>
      </c>
      <c r="F41" s="70">
        <f>$E41-VLOOKUP($G41,TimeZone!$L$4:$O$19,4,0)+VLOOKUP(TimeZone!$H$1,TimeZone!$C$4:$E$39,3,0)</f>
        <v>46194.75</v>
      </c>
      <c r="G41" s="188">
        <v>7</v>
      </c>
      <c r="H41" s="185" t="str">
        <f>VLOOKUP($G41,Language!$D$103:$E$118,2,0)</f>
        <v>Atlanta</v>
      </c>
      <c r="I41" s="107" t="str">
        <f>VLOOKUP(C41,Groups!$B$7:$D$65,3,0)</f>
        <v>Spanje</v>
      </c>
      <c r="J41" s="107" t="str">
        <f>VLOOKUP(D41,Groups!$B$7:$D$65,3,0)</f>
        <v>Saoedi-Arabië</v>
      </c>
      <c r="K41" s="99"/>
    </row>
    <row r="42" spans="2:24">
      <c r="B42" s="195">
        <v>39</v>
      </c>
      <c r="C42" s="193" t="s">
        <v>186</v>
      </c>
      <c r="D42" s="194" t="s">
        <v>188</v>
      </c>
      <c r="E42" s="175">
        <v>46194.625</v>
      </c>
      <c r="F42" s="70">
        <f>$E42-VLOOKUP($G42,TimeZone!$L$4:$O$19,4,0)+VLOOKUP(TimeZone!$H$1,TimeZone!$C$4:$E$39,3,0)</f>
        <v>46194.875</v>
      </c>
      <c r="G42" s="188">
        <v>8</v>
      </c>
      <c r="H42" s="185" t="str">
        <f>VLOOKUP($G42,Language!$D$103:$E$118,2,0)</f>
        <v>Los Angeles</v>
      </c>
      <c r="I42" s="107" t="str">
        <f>VLOOKUP(C42,Groups!$B$7:$D$65,3,0)</f>
        <v>België</v>
      </c>
      <c r="J42" s="107" t="str">
        <f>VLOOKUP(D42,Groups!$B$7:$D$65,3,0)</f>
        <v>Iran</v>
      </c>
      <c r="K42" s="99"/>
    </row>
    <row r="43" spans="2:24">
      <c r="B43" s="195">
        <v>40</v>
      </c>
      <c r="C43" s="193" t="s">
        <v>1051</v>
      </c>
      <c r="D43" s="194" t="s">
        <v>187</v>
      </c>
      <c r="E43" s="175">
        <v>46194.875</v>
      </c>
      <c r="F43" s="70">
        <f>$E43-VLOOKUP($G43,TimeZone!$L$4:$O$19,4,0)+VLOOKUP(TimeZone!$H$1,TimeZone!$C$4:$E$39,3,0)</f>
        <v>46195.125</v>
      </c>
      <c r="G43" s="188">
        <v>1</v>
      </c>
      <c r="H43" s="185" t="str">
        <f>VLOOKUP($G43,Language!$D$103:$E$118,2,0)</f>
        <v>Vancouver</v>
      </c>
      <c r="I43" s="107" t="str">
        <f>VLOOKUP(C43,Groups!$B$7:$D$65,3,0)</f>
        <v>Nieuw-Zeeland</v>
      </c>
      <c r="J43" s="107" t="str">
        <f>VLOOKUP(D43,Groups!$B$7:$D$65,3,0)</f>
        <v>Egypte</v>
      </c>
      <c r="K43" s="99"/>
    </row>
    <row r="44" spans="2:24">
      <c r="B44" s="195">
        <v>41</v>
      </c>
      <c r="C44" s="193" t="s">
        <v>1053</v>
      </c>
      <c r="D44" s="194" t="s">
        <v>843</v>
      </c>
      <c r="E44" s="175">
        <v>46195.833333333336</v>
      </c>
      <c r="F44" s="70">
        <f>$E44-VLOOKUP($G44,TimeZone!$L$4:$O$19,4,0)+VLOOKUP(TimeZone!$H$1,TimeZone!$C$4:$E$39,3,0)</f>
        <v>46196.083333333336</v>
      </c>
      <c r="G44" s="188">
        <v>3</v>
      </c>
      <c r="H44" s="185" t="str">
        <f>VLOOKUP($G44,Language!$D$103:$E$118,2,0)</f>
        <v>New York/New Jersey</v>
      </c>
      <c r="I44" s="107" t="str">
        <f>VLOOKUP(C44,Groups!$B$7:$D$65,3,0)</f>
        <v>Noorwegen</v>
      </c>
      <c r="J44" s="107" t="str">
        <f>VLOOKUP(D44,Groups!$B$7:$D$65,3,0)</f>
        <v>Senegal</v>
      </c>
      <c r="K44" s="99"/>
    </row>
    <row r="45" spans="2:24">
      <c r="B45" s="195">
        <v>42</v>
      </c>
      <c r="C45" s="193" t="s">
        <v>842</v>
      </c>
      <c r="D45" s="194" t="s">
        <v>844</v>
      </c>
      <c r="E45" s="175">
        <v>46195.708333333336</v>
      </c>
      <c r="F45" s="70">
        <f>$E45-VLOOKUP($G45,TimeZone!$L$4:$O$19,4,0)+VLOOKUP(TimeZone!$H$1,TimeZone!$C$4:$E$39,3,0)</f>
        <v>46195.958333333336</v>
      </c>
      <c r="G45" s="188">
        <v>9</v>
      </c>
      <c r="H45" s="185" t="str">
        <f>VLOOKUP($G45,Language!$D$103:$E$118,2,0)</f>
        <v>Philadelphia</v>
      </c>
      <c r="I45" s="107" t="str">
        <f>VLOOKUP(C45,Groups!$B$7:$D$65,3,0)</f>
        <v>Frankrijk</v>
      </c>
      <c r="J45" s="107" t="str">
        <f>VLOOKUP(D45,Groups!$B$7:$D$65,3,0)</f>
        <v>Irak</v>
      </c>
      <c r="K45" s="99"/>
    </row>
    <row r="46" spans="2:24">
      <c r="B46" s="195">
        <v>43</v>
      </c>
      <c r="C46" s="193" t="s">
        <v>845</v>
      </c>
      <c r="D46" s="194" t="s">
        <v>847</v>
      </c>
      <c r="E46" s="175">
        <v>46195.541666666664</v>
      </c>
      <c r="F46" s="70">
        <f>$E46-VLOOKUP($G46,TimeZone!$L$4:$O$19,4,0)+VLOOKUP(TimeZone!$H$1,TimeZone!$C$4:$E$39,3,0)</f>
        <v>46195.791666666664</v>
      </c>
      <c r="G46" s="188">
        <v>5</v>
      </c>
      <c r="H46" s="185" t="str">
        <f>VLOOKUP($G46,Language!$D$103:$E$118,2,0)</f>
        <v>Dallas</v>
      </c>
      <c r="I46" s="107" t="str">
        <f>VLOOKUP(C46,Groups!$B$7:$D$65,3,0)</f>
        <v>Argentinië</v>
      </c>
      <c r="J46" s="107" t="str">
        <f>VLOOKUP(D46,Groups!$B$7:$D$65,3,0)</f>
        <v>Oostenrijk</v>
      </c>
      <c r="K46" s="99"/>
    </row>
    <row r="47" spans="2:24">
      <c r="B47" s="195">
        <v>44</v>
      </c>
      <c r="C47" s="193" t="s">
        <v>1054</v>
      </c>
      <c r="D47" s="194" t="s">
        <v>846</v>
      </c>
      <c r="E47" s="175">
        <v>46195.958333333336</v>
      </c>
      <c r="F47" s="70">
        <f>$E47-VLOOKUP($G47,TimeZone!$L$4:$O$19,4,0)+VLOOKUP(TimeZone!$H$1,TimeZone!$C$4:$E$39,3,0)</f>
        <v>46196.208333333336</v>
      </c>
      <c r="G47" s="188">
        <v>11</v>
      </c>
      <c r="H47" s="185" t="str">
        <f>VLOOKUP($G47,Language!$D$103:$E$118,2,0)</f>
        <v>San Francisco Bay Area</v>
      </c>
      <c r="I47" s="107" t="str">
        <f>VLOOKUP(C47,Groups!$B$7:$D$65,3,0)</f>
        <v>Jordanië</v>
      </c>
      <c r="J47" s="107" t="str">
        <f>VLOOKUP(D47,Groups!$B$7:$D$65,3,0)</f>
        <v>Algerije</v>
      </c>
      <c r="K47" s="99"/>
    </row>
    <row r="48" spans="2:24">
      <c r="B48" s="195">
        <v>45</v>
      </c>
      <c r="C48" s="193" t="s">
        <v>851</v>
      </c>
      <c r="D48" s="194" t="s">
        <v>853</v>
      </c>
      <c r="E48" s="175">
        <v>46196.666666666664</v>
      </c>
      <c r="F48" s="70">
        <f>$E48-VLOOKUP($G48,TimeZone!$L$4:$O$19,4,0)+VLOOKUP(TimeZone!$H$1,TimeZone!$C$4:$E$39,3,0)</f>
        <v>46196.916666666664</v>
      </c>
      <c r="G48" s="188">
        <v>12</v>
      </c>
      <c r="H48" s="185" t="str">
        <f>VLOOKUP($G48,Language!$D$103:$E$118,2,0)</f>
        <v>Boston</v>
      </c>
      <c r="I48" s="107" t="str">
        <f>VLOOKUP(C48,Groups!$B$7:$D$65,3,0)</f>
        <v>Engeland</v>
      </c>
      <c r="J48" s="107" t="str">
        <f>VLOOKUP(D48,Groups!$B$7:$D$65,3,0)</f>
        <v>Ghana</v>
      </c>
      <c r="K48" s="99"/>
    </row>
    <row r="49" spans="2:24">
      <c r="B49" s="195">
        <v>46</v>
      </c>
      <c r="C49" s="193" t="s">
        <v>1056</v>
      </c>
      <c r="D49" s="194" t="s">
        <v>852</v>
      </c>
      <c r="E49" s="175">
        <v>46196.791666666664</v>
      </c>
      <c r="F49" s="70">
        <f>$E49-VLOOKUP($G49,TimeZone!$L$4:$O$19,4,0)+VLOOKUP(TimeZone!$H$1,TimeZone!$C$4:$E$39,3,0)</f>
        <v>46197.041666666664</v>
      </c>
      <c r="G49" s="188">
        <v>2</v>
      </c>
      <c r="H49" s="185" t="str">
        <f>VLOOKUP($G49,Language!$D$103:$E$118,2,0)</f>
        <v>Toronto</v>
      </c>
      <c r="I49" s="107" t="str">
        <f>VLOOKUP(C49,Groups!$B$7:$D$65,3,0)</f>
        <v>Panama</v>
      </c>
      <c r="J49" s="107" t="str">
        <f>VLOOKUP(D49,Groups!$B$7:$D$65,3,0)</f>
        <v>Kroatië</v>
      </c>
      <c r="K49" s="99"/>
    </row>
    <row r="50" spans="2:24">
      <c r="B50" s="195">
        <v>47</v>
      </c>
      <c r="C50" s="193" t="s">
        <v>848</v>
      </c>
      <c r="D50" s="194" t="s">
        <v>850</v>
      </c>
      <c r="E50" s="175">
        <v>46196.541666666664</v>
      </c>
      <c r="F50" s="70">
        <f>$E50-VLOOKUP($G50,TimeZone!$L$4:$O$19,4,0)+VLOOKUP(TimeZone!$H$1,TimeZone!$C$4:$E$39,3,0)</f>
        <v>46196.791666666664</v>
      </c>
      <c r="G50" s="188">
        <v>6</v>
      </c>
      <c r="H50" s="185" t="str">
        <f>VLOOKUP($G50,Language!$D$103:$E$118,2,0)</f>
        <v>Houston</v>
      </c>
      <c r="I50" s="107" t="str">
        <f>VLOOKUP(C50,Groups!$B$7:$D$65,3,0)</f>
        <v>Portugal</v>
      </c>
      <c r="J50" s="107" t="str">
        <f>VLOOKUP(D50,Groups!$B$7:$D$65,3,0)</f>
        <v>Oezbekistan</v>
      </c>
      <c r="K50" s="99"/>
    </row>
    <row r="51" spans="2:24">
      <c r="B51" s="195">
        <v>48</v>
      </c>
      <c r="C51" s="193" t="s">
        <v>1055</v>
      </c>
      <c r="D51" s="194" t="s">
        <v>849</v>
      </c>
      <c r="E51" s="175">
        <v>46196.916666666664</v>
      </c>
      <c r="F51" s="70">
        <f>$E51-VLOOKUP($G51,TimeZone!$L$4:$O$19,4,0)+VLOOKUP(TimeZone!$H$1,TimeZone!$C$4:$E$39,3,0)</f>
        <v>46197.166666666664</v>
      </c>
      <c r="G51" s="188">
        <v>15</v>
      </c>
      <c r="H51" s="185" t="str">
        <f>VLOOKUP($G51,Language!$D$103:$E$118,2,0)</f>
        <v>Guadalajara</v>
      </c>
      <c r="I51" s="107" t="str">
        <f>VLOOKUP(C51,Groups!$B$7:$D$65,3,0)</f>
        <v>Colombia</v>
      </c>
      <c r="J51" s="107" t="str">
        <f>VLOOKUP(D51,Groups!$B$7:$D$65,3,0)</f>
        <v>Congo</v>
      </c>
      <c r="K51" s="99"/>
      <c r="M51" s="382"/>
      <c r="N51" s="382"/>
      <c r="O51" s="382"/>
      <c r="P51" s="382"/>
      <c r="Q51" s="382"/>
      <c r="R51" s="382"/>
      <c r="S51" s="382"/>
      <c r="T51" s="382"/>
      <c r="U51" s="382"/>
      <c r="V51" s="382"/>
      <c r="W51" s="382"/>
      <c r="X51" s="382"/>
    </row>
    <row r="52" spans="2:24">
      <c r="B52" s="195">
        <v>49</v>
      </c>
      <c r="C52" s="193" t="s">
        <v>1047</v>
      </c>
      <c r="D52" s="194" t="s">
        <v>177</v>
      </c>
      <c r="E52" s="175">
        <v>46197.75</v>
      </c>
      <c r="F52" s="70">
        <f>$E52-VLOOKUP($G52,TimeZone!$L$4:$O$19,4,0)+VLOOKUP(TimeZone!$H$1,TimeZone!$C$4:$E$39,3,0)</f>
        <v>46198</v>
      </c>
      <c r="G52" s="188">
        <v>13</v>
      </c>
      <c r="H52" s="185" t="str">
        <f>VLOOKUP($G52,Language!$D$103:$E$118,2,0)</f>
        <v>Miami</v>
      </c>
      <c r="I52" s="107" t="str">
        <f>VLOOKUP(C52,Groups!$B$7:$D$65,3,0)</f>
        <v>Schotland</v>
      </c>
      <c r="J52" s="107" t="str">
        <f>VLOOKUP(D52,Groups!$B$7:$D$65,3,0)</f>
        <v>Brazilië</v>
      </c>
      <c r="K52" s="99"/>
      <c r="M52" s="382"/>
      <c r="N52" s="382"/>
      <c r="O52" s="382"/>
      <c r="P52" s="382"/>
      <c r="Q52" s="382"/>
      <c r="R52" s="382"/>
      <c r="S52" s="382"/>
      <c r="T52" s="382"/>
      <c r="U52" s="382"/>
      <c r="V52" s="382"/>
      <c r="W52" s="382"/>
      <c r="X52" s="382"/>
    </row>
    <row r="53" spans="2:24">
      <c r="B53" s="195">
        <v>50</v>
      </c>
      <c r="C53" s="193" t="s">
        <v>178</v>
      </c>
      <c r="D53" s="194" t="s">
        <v>179</v>
      </c>
      <c r="E53" s="175">
        <v>46197.75</v>
      </c>
      <c r="F53" s="70">
        <f>$E53-VLOOKUP($G53,TimeZone!$L$4:$O$19,4,0)+VLOOKUP(TimeZone!$H$1,TimeZone!$C$4:$E$39,3,0)</f>
        <v>46198</v>
      </c>
      <c r="G53" s="188">
        <v>7</v>
      </c>
      <c r="H53" s="185" t="str">
        <f>VLOOKUP($G53,Language!$D$103:$E$118,2,0)</f>
        <v>Atlanta</v>
      </c>
      <c r="I53" s="107" t="str">
        <f>VLOOKUP(C53,Groups!$B$7:$D$65,3,0)</f>
        <v>Marokko</v>
      </c>
      <c r="J53" s="107" t="str">
        <f>VLOOKUP(D53,Groups!$B$7:$D$65,3,0)</f>
        <v>Haïti</v>
      </c>
      <c r="K53" s="99"/>
      <c r="M53" s="382"/>
      <c r="N53" s="382"/>
      <c r="O53" s="382"/>
      <c r="P53" s="382"/>
      <c r="Q53" s="382"/>
      <c r="R53" s="382"/>
      <c r="S53" s="382"/>
      <c r="T53" s="382"/>
      <c r="U53" s="382"/>
      <c r="V53" s="382"/>
      <c r="W53" s="382"/>
      <c r="X53" s="382"/>
    </row>
    <row r="54" spans="2:24">
      <c r="B54" s="195">
        <v>51</v>
      </c>
      <c r="C54" s="193" t="s">
        <v>1046</v>
      </c>
      <c r="D54" s="194" t="s">
        <v>174</v>
      </c>
      <c r="E54" s="175">
        <v>46197.625</v>
      </c>
      <c r="F54" s="70">
        <f>$E54-VLOOKUP($G54,TimeZone!$L$4:$O$19,4,0)+VLOOKUP(TimeZone!$H$1,TimeZone!$C$4:$E$39,3,0)</f>
        <v>46197.875</v>
      </c>
      <c r="G54" s="188">
        <v>1</v>
      </c>
      <c r="H54" s="185" t="str">
        <f>VLOOKUP($G54,Language!$D$103:$E$118,2,0)</f>
        <v>Vancouver</v>
      </c>
      <c r="I54" s="107" t="str">
        <f>VLOOKUP(C54,Groups!$B$7:$D$65,3,0)</f>
        <v>Zwitserland</v>
      </c>
      <c r="J54" s="107" t="str">
        <f>VLOOKUP(D54,Groups!$B$7:$D$65,3,0)</f>
        <v>Canada</v>
      </c>
      <c r="K54" s="99"/>
      <c r="M54" s="382"/>
      <c r="N54" s="382"/>
      <c r="O54" s="382"/>
      <c r="P54" s="382"/>
      <c r="Q54" s="382"/>
      <c r="R54" s="382"/>
      <c r="S54" s="382"/>
      <c r="T54" s="382"/>
      <c r="U54" s="382"/>
      <c r="V54" s="382"/>
      <c r="W54" s="382"/>
      <c r="X54" s="382"/>
    </row>
    <row r="55" spans="2:24">
      <c r="B55" s="195">
        <v>52</v>
      </c>
      <c r="C55" s="193" t="s">
        <v>175</v>
      </c>
      <c r="D55" s="194" t="s">
        <v>176</v>
      </c>
      <c r="E55" s="175">
        <v>46197.625</v>
      </c>
      <c r="F55" s="70">
        <f>$E55-VLOOKUP($G55,TimeZone!$L$4:$O$19,4,0)+VLOOKUP(TimeZone!$H$1,TimeZone!$C$4:$E$39,3,0)</f>
        <v>46197.875</v>
      </c>
      <c r="G55" s="188">
        <v>10</v>
      </c>
      <c r="H55" s="185" t="str">
        <f>VLOOKUP($G55,Language!$D$103:$E$118,2,0)</f>
        <v>Seattle</v>
      </c>
      <c r="I55" s="107" t="str">
        <f>VLOOKUP(C55,Groups!$B$7:$D$65,3,0)</f>
        <v>Bosnië/Herz.</v>
      </c>
      <c r="J55" s="107" t="str">
        <f>VLOOKUP(D55,Groups!$B$7:$D$65,3,0)</f>
        <v>Qatar</v>
      </c>
      <c r="K55" s="99"/>
      <c r="M55" s="382"/>
      <c r="N55" s="382"/>
      <c r="O55" s="382"/>
      <c r="P55" s="382"/>
      <c r="Q55" s="382"/>
      <c r="R55" s="382"/>
      <c r="S55" s="382"/>
      <c r="T55" s="382"/>
      <c r="U55" s="382"/>
      <c r="V55" s="382"/>
      <c r="W55" s="382"/>
      <c r="X55" s="382"/>
    </row>
    <row r="56" spans="2:24">
      <c r="B56" s="195">
        <v>53</v>
      </c>
      <c r="C56" s="193" t="s">
        <v>1045</v>
      </c>
      <c r="D56" s="194" t="s">
        <v>171</v>
      </c>
      <c r="E56" s="175">
        <v>46197.875</v>
      </c>
      <c r="F56" s="70">
        <f>$E56-VLOOKUP($G56,TimeZone!$L$4:$O$19,4,0)+VLOOKUP(TimeZone!$H$1,TimeZone!$C$4:$E$39,3,0)</f>
        <v>46198.125</v>
      </c>
      <c r="G56" s="186">
        <v>14</v>
      </c>
      <c r="H56" s="185" t="str">
        <f>VLOOKUP($G56,Language!$D$103:$E$118,2,0)</f>
        <v>Mexico City</v>
      </c>
      <c r="I56" s="107" t="str">
        <f>VLOOKUP(C56,Groups!$B$7:$D$65,3,0)</f>
        <v>Tsjechië</v>
      </c>
      <c r="J56" s="107" t="str">
        <f>VLOOKUP(D56,Groups!$B$7:$D$65,3,0)</f>
        <v>Mexico</v>
      </c>
      <c r="K56" s="99"/>
      <c r="M56" s="382"/>
      <c r="N56" s="382"/>
      <c r="O56" s="382"/>
      <c r="P56" s="382"/>
      <c r="Q56" s="382"/>
      <c r="R56" s="382"/>
      <c r="S56" s="382"/>
      <c r="T56" s="382"/>
      <c r="U56" s="382"/>
      <c r="V56" s="382"/>
      <c r="W56" s="382"/>
      <c r="X56" s="382"/>
    </row>
    <row r="57" spans="2:24">
      <c r="B57" s="195">
        <v>54</v>
      </c>
      <c r="C57" s="193" t="s">
        <v>172</v>
      </c>
      <c r="D57" s="194" t="s">
        <v>173</v>
      </c>
      <c r="E57" s="175">
        <v>46197.875</v>
      </c>
      <c r="F57" s="70">
        <f>$E57-VLOOKUP($G57,TimeZone!$L$4:$O$19,4,0)+VLOOKUP(TimeZone!$H$1,TimeZone!$C$4:$E$39,3,0)</f>
        <v>46198.125</v>
      </c>
      <c r="G57" s="188">
        <v>16</v>
      </c>
      <c r="H57" s="185" t="str">
        <f>VLOOKUP($G57,Language!$D$103:$E$118,2,0)</f>
        <v>Monterrey</v>
      </c>
      <c r="I57" s="107" t="str">
        <f>VLOOKUP(C57,Groups!$B$7:$D$65,3,0)</f>
        <v>Zuid-Afrika</v>
      </c>
      <c r="J57" s="107" t="str">
        <f>VLOOKUP(D57,Groups!$B$7:$D$65,3,0)</f>
        <v>Zuid-Korea</v>
      </c>
      <c r="K57" s="99"/>
      <c r="M57" s="382"/>
      <c r="N57" s="382"/>
      <c r="O57" s="382"/>
      <c r="P57" s="382"/>
      <c r="Q57" s="382"/>
      <c r="R57" s="382"/>
      <c r="S57" s="382"/>
      <c r="T57" s="382"/>
      <c r="U57" s="382"/>
      <c r="V57" s="382"/>
      <c r="W57" s="382"/>
      <c r="X57" s="382"/>
    </row>
    <row r="58" spans="2:24">
      <c r="B58" s="195">
        <v>55</v>
      </c>
      <c r="C58" s="193" t="s">
        <v>184</v>
      </c>
      <c r="D58" s="194" t="s">
        <v>185</v>
      </c>
      <c r="E58" s="175">
        <v>46198.666666666664</v>
      </c>
      <c r="F58" s="70">
        <f>$E58-VLOOKUP($G58,TimeZone!$L$4:$O$19,4,0)+VLOOKUP(TimeZone!$H$1,TimeZone!$C$4:$E$39,3,0)</f>
        <v>46198.916666666664</v>
      </c>
      <c r="G58" s="188">
        <v>9</v>
      </c>
      <c r="H58" s="185" t="str">
        <f>VLOOKUP($G58,Language!$D$103:$E$118,2,0)</f>
        <v>Philadelphia</v>
      </c>
      <c r="I58" s="107" t="str">
        <f>VLOOKUP(C58,Groups!$B$7:$D$65,3,0)</f>
        <v>Curacao</v>
      </c>
      <c r="J58" s="107" t="str">
        <f>VLOOKUP(D58,Groups!$B$7:$D$65,3,0)</f>
        <v>Ivoorkust</v>
      </c>
      <c r="K58" s="99"/>
      <c r="M58" s="382"/>
      <c r="N58" s="382"/>
      <c r="O58" s="382"/>
      <c r="P58" s="382"/>
      <c r="Q58" s="382"/>
      <c r="R58" s="382"/>
      <c r="S58" s="382"/>
      <c r="T58" s="382"/>
      <c r="U58" s="382"/>
      <c r="V58" s="382"/>
      <c r="W58" s="382"/>
      <c r="X58" s="382"/>
    </row>
    <row r="59" spans="2:24">
      <c r="B59" s="195">
        <v>56</v>
      </c>
      <c r="C59" s="193" t="s">
        <v>1049</v>
      </c>
      <c r="D59" s="194" t="s">
        <v>183</v>
      </c>
      <c r="E59" s="175">
        <v>46198.666666666664</v>
      </c>
      <c r="F59" s="70">
        <f>$E59-VLOOKUP($G59,TimeZone!$L$4:$O$19,4,0)+VLOOKUP(TimeZone!$H$1,TimeZone!$C$4:$E$39,3,0)</f>
        <v>46198.916666666664</v>
      </c>
      <c r="G59" s="188">
        <v>3</v>
      </c>
      <c r="H59" s="185" t="str">
        <f>VLOOKUP($G59,Language!$D$103:$E$118,2,0)</f>
        <v>New York/New Jersey</v>
      </c>
      <c r="I59" s="107" t="str">
        <f>VLOOKUP(C59,Groups!$B$7:$D$65,3,0)</f>
        <v>Ecuador</v>
      </c>
      <c r="J59" s="107" t="str">
        <f>VLOOKUP(D59,Groups!$B$7:$D$65,3,0)</f>
        <v>Duitsland</v>
      </c>
      <c r="K59" s="99"/>
      <c r="M59" s="382"/>
      <c r="N59" s="382"/>
      <c r="O59" s="382"/>
      <c r="P59" s="382"/>
      <c r="Q59" s="382"/>
      <c r="R59" s="382"/>
      <c r="S59" s="382"/>
      <c r="T59" s="382"/>
      <c r="U59" s="382"/>
      <c r="V59" s="382"/>
      <c r="W59" s="382"/>
      <c r="X59" s="382"/>
    </row>
    <row r="60" spans="2:24">
      <c r="B60" s="195">
        <v>57</v>
      </c>
      <c r="C60" s="193" t="s">
        <v>267</v>
      </c>
      <c r="D60" s="194" t="s">
        <v>268</v>
      </c>
      <c r="E60" s="175">
        <v>46198.791666666664</v>
      </c>
      <c r="F60" s="70">
        <f>$E60-VLOOKUP($G60,TimeZone!$L$4:$O$19,4,0)+VLOOKUP(TimeZone!$H$1,TimeZone!$C$4:$E$39,3,0)</f>
        <v>46199.041666666664</v>
      </c>
      <c r="G60" s="188">
        <v>5</v>
      </c>
      <c r="H60" s="185" t="str">
        <f>VLOOKUP($G60,Language!$D$103:$E$118,2,0)</f>
        <v>Dallas</v>
      </c>
      <c r="I60" s="107" t="str">
        <f>VLOOKUP(C60,Groups!$B$7:$D$65,3,0)</f>
        <v>Japan</v>
      </c>
      <c r="J60" s="107" t="str">
        <f>VLOOKUP(D60,Groups!$B$7:$D$65,3,0)</f>
        <v>Zweden</v>
      </c>
      <c r="K60" s="99"/>
      <c r="M60" s="382"/>
      <c r="N60" s="382"/>
      <c r="O60" s="382"/>
      <c r="P60" s="382"/>
      <c r="Q60" s="382"/>
      <c r="R60" s="382"/>
      <c r="S60" s="382"/>
      <c r="T60" s="382"/>
      <c r="U60" s="382"/>
      <c r="V60" s="382"/>
      <c r="W60" s="382"/>
      <c r="X60" s="382"/>
    </row>
    <row r="61" spans="2:24">
      <c r="B61" s="195">
        <v>58</v>
      </c>
      <c r="C61" s="193" t="s">
        <v>1050</v>
      </c>
      <c r="D61" s="194" t="s">
        <v>266</v>
      </c>
      <c r="E61" s="175">
        <v>46198.791666666664</v>
      </c>
      <c r="F61" s="70">
        <f>$E61-VLOOKUP($G61,TimeZone!$L$4:$O$19,4,0)+VLOOKUP(TimeZone!$H$1,TimeZone!$C$4:$E$39,3,0)</f>
        <v>46199.041666666664</v>
      </c>
      <c r="G61" s="188">
        <v>4</v>
      </c>
      <c r="H61" s="185" t="str">
        <f>VLOOKUP($G61,Language!$D$103:$E$118,2,0)</f>
        <v>Kansas City</v>
      </c>
      <c r="I61" s="107" t="str">
        <f>VLOOKUP(C61,Groups!$B$7:$D$65,3,0)</f>
        <v>Tunesië</v>
      </c>
      <c r="J61" s="107" t="str">
        <f>VLOOKUP(D61,Groups!$B$7:$D$65,3,0)</f>
        <v>Nederland</v>
      </c>
      <c r="K61" s="99"/>
      <c r="M61" s="382"/>
      <c r="N61" s="382"/>
      <c r="O61" s="382"/>
      <c r="P61" s="382"/>
      <c r="Q61" s="382"/>
      <c r="R61" s="382"/>
      <c r="S61" s="382"/>
      <c r="T61" s="382"/>
      <c r="U61" s="382"/>
      <c r="V61" s="382"/>
      <c r="W61" s="382"/>
      <c r="X61" s="382"/>
    </row>
    <row r="62" spans="2:24">
      <c r="B62" s="195">
        <v>59</v>
      </c>
      <c r="C62" s="193" t="s">
        <v>1048</v>
      </c>
      <c r="D62" s="194" t="s">
        <v>180</v>
      </c>
      <c r="E62" s="175">
        <v>46198.916666666664</v>
      </c>
      <c r="F62" s="70">
        <f>$E62-VLOOKUP($G62,TimeZone!$L$4:$O$19,4,0)+VLOOKUP(TimeZone!$H$1,TimeZone!$C$4:$E$39,3,0)</f>
        <v>46199.166666666664</v>
      </c>
      <c r="G62" s="188">
        <v>8</v>
      </c>
      <c r="H62" s="185" t="str">
        <f>VLOOKUP($G62,Language!$D$103:$E$118,2,0)</f>
        <v>Los Angeles</v>
      </c>
      <c r="I62" s="107" t="str">
        <f>VLOOKUP(C62,Groups!$B$7:$D$65,3,0)</f>
        <v>Turkije</v>
      </c>
      <c r="J62" s="107" t="str">
        <f>VLOOKUP(D62,Groups!$B$7:$D$65,3,0)</f>
        <v>USA</v>
      </c>
      <c r="K62" s="99"/>
      <c r="M62" s="382"/>
      <c r="N62" s="382"/>
      <c r="O62" s="382"/>
      <c r="P62" s="382"/>
      <c r="Q62" s="382"/>
      <c r="R62" s="382"/>
      <c r="S62" s="382"/>
      <c r="T62" s="382"/>
      <c r="U62" s="382"/>
      <c r="V62" s="382"/>
      <c r="W62" s="382"/>
      <c r="X62" s="382"/>
    </row>
    <row r="63" spans="2:24">
      <c r="B63" s="195">
        <v>60</v>
      </c>
      <c r="C63" s="193" t="s">
        <v>181</v>
      </c>
      <c r="D63" s="194" t="s">
        <v>182</v>
      </c>
      <c r="E63" s="175">
        <v>46198.916666666664</v>
      </c>
      <c r="F63" s="70">
        <f>$E63-VLOOKUP($G63,TimeZone!$L$4:$O$19,4,0)+VLOOKUP(TimeZone!$H$1,TimeZone!$C$4:$E$39,3,0)</f>
        <v>46199.166666666664</v>
      </c>
      <c r="G63" s="188">
        <v>11</v>
      </c>
      <c r="H63" s="185" t="str">
        <f>VLOOKUP($G63,Language!$D$103:$E$118,2,0)</f>
        <v>San Francisco Bay Area</v>
      </c>
      <c r="I63" s="107" t="str">
        <f>VLOOKUP(C63,Groups!$B$7:$D$65,3,0)</f>
        <v>Paraguay</v>
      </c>
      <c r="J63" s="107" t="str">
        <f>VLOOKUP(D63,Groups!$B$7:$D$65,3,0)</f>
        <v>Australië</v>
      </c>
      <c r="K63" s="99"/>
      <c r="M63" s="382"/>
      <c r="N63" s="382"/>
      <c r="O63" s="382"/>
      <c r="P63" s="382"/>
      <c r="Q63" s="382"/>
      <c r="R63" s="382"/>
      <c r="S63" s="382"/>
      <c r="T63" s="382"/>
      <c r="U63" s="382"/>
      <c r="V63" s="382"/>
      <c r="W63" s="382"/>
      <c r="X63" s="382"/>
    </row>
    <row r="64" spans="2:24">
      <c r="B64" s="195">
        <v>61</v>
      </c>
      <c r="C64" s="193" t="s">
        <v>1053</v>
      </c>
      <c r="D64" s="194" t="s">
        <v>842</v>
      </c>
      <c r="E64" s="175">
        <v>46199.625</v>
      </c>
      <c r="F64" s="70">
        <f>$E64-VLOOKUP($G64,TimeZone!$L$4:$O$19,4,0)+VLOOKUP(TimeZone!$H$1,TimeZone!$C$4:$E$39,3,0)</f>
        <v>46199.875</v>
      </c>
      <c r="G64" s="188">
        <v>12</v>
      </c>
      <c r="H64" s="185" t="str">
        <f>VLOOKUP($G64,Language!$D$103:$E$118,2,0)</f>
        <v>Boston</v>
      </c>
      <c r="I64" s="107" t="str">
        <f>VLOOKUP(C64,Groups!$B$7:$D$65,3,0)</f>
        <v>Noorwegen</v>
      </c>
      <c r="J64" s="107" t="str">
        <f>VLOOKUP(D64,Groups!$B$7:$D$65,3,0)</f>
        <v>Frankrijk</v>
      </c>
      <c r="K64" s="99"/>
      <c r="M64" s="382"/>
      <c r="N64" s="382"/>
      <c r="O64" s="382"/>
      <c r="P64" s="382"/>
      <c r="Q64" s="382"/>
      <c r="R64" s="382"/>
      <c r="S64" s="382"/>
      <c r="T64" s="382"/>
      <c r="U64" s="382"/>
      <c r="V64" s="382"/>
      <c r="W64" s="382"/>
      <c r="X64" s="382"/>
    </row>
    <row r="65" spans="2:24">
      <c r="B65" s="195">
        <v>62</v>
      </c>
      <c r="C65" s="193" t="s">
        <v>843</v>
      </c>
      <c r="D65" s="194" t="s">
        <v>844</v>
      </c>
      <c r="E65" s="175">
        <v>46199.625</v>
      </c>
      <c r="F65" s="70">
        <f>$E65-VLOOKUP($G65,TimeZone!$L$4:$O$19,4,0)+VLOOKUP(TimeZone!$H$1,TimeZone!$C$4:$E$39,3,0)</f>
        <v>46199.875</v>
      </c>
      <c r="G65" s="188">
        <v>2</v>
      </c>
      <c r="H65" s="185" t="str">
        <f>VLOOKUP($G65,Language!$D$103:$E$118,2,0)</f>
        <v>Toronto</v>
      </c>
      <c r="I65" s="107" t="str">
        <f>VLOOKUP(C65,Groups!$B$7:$D$65,3,0)</f>
        <v>Senegal</v>
      </c>
      <c r="J65" s="107" t="str">
        <f>VLOOKUP(D65,Groups!$B$7:$D$65,3,0)</f>
        <v>Irak</v>
      </c>
      <c r="K65" s="99"/>
      <c r="M65" s="382"/>
      <c r="N65" s="382"/>
      <c r="O65" s="382"/>
      <c r="P65" s="382"/>
      <c r="Q65" s="382"/>
      <c r="R65" s="382"/>
      <c r="S65" s="382"/>
      <c r="T65" s="382"/>
      <c r="U65" s="382"/>
      <c r="V65" s="382"/>
      <c r="W65" s="382"/>
      <c r="X65" s="382"/>
    </row>
    <row r="66" spans="2:24">
      <c r="B66" s="195">
        <v>63</v>
      </c>
      <c r="C66" s="193" t="s">
        <v>187</v>
      </c>
      <c r="D66" s="194" t="s">
        <v>188</v>
      </c>
      <c r="E66" s="175">
        <v>46199.958333333336</v>
      </c>
      <c r="F66" s="70">
        <f>$E66-VLOOKUP($G66,TimeZone!$L$4:$O$19,4,0)+VLOOKUP(TimeZone!$H$1,TimeZone!$C$4:$E$39,3,0)</f>
        <v>46200.208333333336</v>
      </c>
      <c r="G66" s="188">
        <v>10</v>
      </c>
      <c r="H66" s="185" t="str">
        <f>VLOOKUP($G66,Language!$D$103:$E$118,2,0)</f>
        <v>Seattle</v>
      </c>
      <c r="I66" s="107" t="str">
        <f>VLOOKUP(C66,Groups!$B$7:$D$65,3,0)</f>
        <v>Egypte</v>
      </c>
      <c r="J66" s="107" t="str">
        <f>VLOOKUP(D66,Groups!$B$7:$D$65,3,0)</f>
        <v>Iran</v>
      </c>
      <c r="K66" s="99"/>
      <c r="M66" s="382"/>
      <c r="N66" s="382"/>
      <c r="O66" s="382"/>
      <c r="P66" s="382"/>
      <c r="Q66" s="382"/>
      <c r="R66" s="382"/>
      <c r="S66" s="382"/>
      <c r="T66" s="382"/>
      <c r="U66" s="382"/>
      <c r="V66" s="382"/>
      <c r="W66" s="382"/>
      <c r="X66" s="382"/>
    </row>
    <row r="67" spans="2:24">
      <c r="B67" s="195">
        <v>64</v>
      </c>
      <c r="C67" s="193" t="s">
        <v>1051</v>
      </c>
      <c r="D67" s="194" t="s">
        <v>186</v>
      </c>
      <c r="E67" s="175">
        <v>46199.958333333336</v>
      </c>
      <c r="F67" s="70">
        <f>$E67-VLOOKUP($G67,TimeZone!$L$4:$O$19,4,0)+VLOOKUP(TimeZone!$H$1,TimeZone!$C$4:$E$39,3,0)</f>
        <v>46200.208333333336</v>
      </c>
      <c r="G67" s="188">
        <v>1</v>
      </c>
      <c r="H67" s="185" t="str">
        <f>VLOOKUP($G67,Language!$D$103:$E$118,2,0)</f>
        <v>Vancouver</v>
      </c>
      <c r="I67" s="107" t="str">
        <f>VLOOKUP(C67,Groups!$B$7:$D$65,3,0)</f>
        <v>Nieuw-Zeeland</v>
      </c>
      <c r="J67" s="107" t="str">
        <f>VLOOKUP(D67,Groups!$B$7:$D$65,3,0)</f>
        <v>België</v>
      </c>
      <c r="K67" s="99"/>
      <c r="M67" s="382"/>
      <c r="N67" s="382"/>
      <c r="O67" s="382"/>
      <c r="P67" s="382"/>
      <c r="Q67" s="382"/>
      <c r="R67" s="382"/>
      <c r="S67" s="382"/>
      <c r="T67" s="382"/>
      <c r="U67" s="382"/>
      <c r="V67" s="382"/>
      <c r="W67" s="382"/>
      <c r="X67" s="382"/>
    </row>
    <row r="68" spans="2:24" ht="15.75" thickBot="1">
      <c r="B68" s="195">
        <v>65</v>
      </c>
      <c r="C68" s="193" t="s">
        <v>270</v>
      </c>
      <c r="D68" s="194" t="s">
        <v>271</v>
      </c>
      <c r="E68" s="175">
        <v>46199.833333333336</v>
      </c>
      <c r="F68" s="70">
        <f>$E68-VLOOKUP($G68,TimeZone!$L$4:$O$19,4,0)+VLOOKUP(TimeZone!$H$1,TimeZone!$C$4:$E$39,3,0)</f>
        <v>46200.083333333336</v>
      </c>
      <c r="G68" s="188">
        <v>6</v>
      </c>
      <c r="H68" s="185" t="str">
        <f>VLOOKUP($G68,Language!$D$103:$E$118,2,0)</f>
        <v>Houston</v>
      </c>
      <c r="I68" s="107" t="str">
        <f>VLOOKUP(C68,Groups!$B$7:$D$65,3,0)</f>
        <v>Kaapverdië</v>
      </c>
      <c r="J68" s="107" t="str">
        <f>VLOOKUP(D68,Groups!$B$7:$D$65,3,0)</f>
        <v>Saoedi-Arabië</v>
      </c>
      <c r="K68" s="99"/>
      <c r="L68" s="592" t="s">
        <v>1712</v>
      </c>
      <c r="M68" s="382"/>
      <c r="N68" s="382"/>
      <c r="O68" s="592" t="s">
        <v>1110</v>
      </c>
      <c r="P68" s="382"/>
      <c r="Q68" s="382"/>
      <c r="R68" s="382"/>
      <c r="S68" s="382"/>
      <c r="T68" s="382"/>
      <c r="U68" s="382"/>
      <c r="V68" s="382"/>
      <c r="W68" s="382"/>
      <c r="X68" s="382"/>
    </row>
    <row r="69" spans="2:24">
      <c r="B69" s="195">
        <v>66</v>
      </c>
      <c r="C69" s="193" t="s">
        <v>1052</v>
      </c>
      <c r="D69" s="194" t="s">
        <v>269</v>
      </c>
      <c r="E69" s="175">
        <v>46199.833333333336</v>
      </c>
      <c r="F69" s="70">
        <f>$E69-VLOOKUP($G69,TimeZone!$L$4:$O$19,4,0)+VLOOKUP(TimeZone!$H$1,TimeZone!$C$4:$E$39,3,0)</f>
        <v>46200.083333333336</v>
      </c>
      <c r="G69" s="188">
        <v>15</v>
      </c>
      <c r="H69" s="185" t="str">
        <f>VLOOKUP($G69,Language!$D$103:$E$118,2,0)</f>
        <v>Guadalajara</v>
      </c>
      <c r="I69" s="107" t="str">
        <f>VLOOKUP(C69,Groups!$B$7:$D$65,3,0)</f>
        <v>Uruguay</v>
      </c>
      <c r="J69" s="107" t="str">
        <f>VLOOKUP(D69,Groups!$B$7:$D$65,3,0)</f>
        <v>Spanje</v>
      </c>
      <c r="K69" s="99"/>
      <c r="L69" s="603" t="b">
        <f>IFERROR(VLOOKUP(N69,Groups!$D$7:$E$65,2,0),FALSE)</f>
        <v>1</v>
      </c>
      <c r="M69" s="604" t="str">
        <f>M101</f>
        <v>3-CEFHI</v>
      </c>
      <c r="N69" s="605" t="str">
        <f>IF(Distinctness!$G$17&gt;0,INDEX(ThirdPlaced!$C$4:$C$15,MATCH(O69,ThirdPlaced!$I$4:$I$15),0),"")</f>
        <v>Schotland</v>
      </c>
      <c r="O69" s="606" t="str">
        <f>IFERROR(VLOOKUP(ThirdPlaced!$I$30,AssignThird!$C$8:$K$502,2,0),"")</f>
        <v>C</v>
      </c>
      <c r="P69" s="382"/>
      <c r="Q69" s="382"/>
      <c r="R69" s="382"/>
      <c r="S69" s="382"/>
      <c r="T69" s="382"/>
      <c r="U69" s="382"/>
      <c r="V69" s="382"/>
      <c r="W69" s="382"/>
      <c r="X69" s="382"/>
    </row>
    <row r="70" spans="2:24">
      <c r="B70" s="195">
        <v>67</v>
      </c>
      <c r="C70" s="193" t="s">
        <v>1056</v>
      </c>
      <c r="D70" s="194" t="s">
        <v>851</v>
      </c>
      <c r="E70" s="175">
        <v>46200.708333333336</v>
      </c>
      <c r="F70" s="70">
        <f>$E70-VLOOKUP($G70,TimeZone!$L$4:$O$19,4,0)+VLOOKUP(TimeZone!$H$1,TimeZone!$C$4:$E$39,3,0)</f>
        <v>46200.958333333336</v>
      </c>
      <c r="G70" s="188">
        <v>3</v>
      </c>
      <c r="H70" s="185" t="str">
        <f>VLOOKUP($G70,Language!$D$103:$E$118,2,0)</f>
        <v>New York/New Jersey</v>
      </c>
      <c r="I70" s="107" t="str">
        <f>VLOOKUP(C70,Groups!$B$7:$D$65,3,0)</f>
        <v>Panama</v>
      </c>
      <c r="J70" s="107" t="str">
        <f>VLOOKUP(D70,Groups!$B$7:$D$65,3,0)</f>
        <v>Engeland</v>
      </c>
      <c r="K70" s="99"/>
      <c r="L70" s="607" t="b">
        <f>IFERROR(VLOOKUP(N70,Groups!$D$7:$E$65,2,0),FALSE)</f>
        <v>1</v>
      </c>
      <c r="M70" s="608" t="str">
        <f t="shared" ref="M70:M75" si="0">M102</f>
        <v>3-EFGIJ</v>
      </c>
      <c r="N70" s="609" t="str">
        <f>IF(Distinctness!$G$17&gt;0,INDEX(ThirdPlaced!$C$4:$C$15,MATCH(O70,ThirdPlaced!$I$4:$I$15),0),"")</f>
        <v>Algerije</v>
      </c>
      <c r="O70" s="610" t="str">
        <f>IFERROR(VLOOKUP(ThirdPlaced!$I$30,AssignThird!$C$8:$K$502,3,0),"")</f>
        <v>J</v>
      </c>
      <c r="P70" s="382"/>
      <c r="Q70" s="382"/>
      <c r="R70" s="382"/>
      <c r="S70" s="382"/>
      <c r="T70" s="382"/>
      <c r="U70" s="382"/>
      <c r="V70" s="382"/>
      <c r="W70" s="382"/>
      <c r="X70" s="382"/>
    </row>
    <row r="71" spans="2:24">
      <c r="B71" s="195">
        <v>68</v>
      </c>
      <c r="C71" s="193" t="s">
        <v>852</v>
      </c>
      <c r="D71" s="194" t="s">
        <v>853</v>
      </c>
      <c r="E71" s="175">
        <v>46200.708333333336</v>
      </c>
      <c r="F71" s="70">
        <f>$E71-VLOOKUP($G71,TimeZone!$L$4:$O$19,4,0)+VLOOKUP(TimeZone!$H$1,TimeZone!$C$4:$E$39,3,0)</f>
        <v>46200.958333333336</v>
      </c>
      <c r="G71" s="188">
        <v>9</v>
      </c>
      <c r="H71" s="185" t="str">
        <f>VLOOKUP($G71,Language!$D$103:$E$118,2,0)</f>
        <v>Philadelphia</v>
      </c>
      <c r="I71" s="107" t="str">
        <f>VLOOKUP(C71,Groups!$B$7:$D$65,3,0)</f>
        <v>Kroatië</v>
      </c>
      <c r="J71" s="107" t="str">
        <f>VLOOKUP(D71,Groups!$B$7:$D$65,3,0)</f>
        <v>Ghana</v>
      </c>
      <c r="K71" s="99"/>
      <c r="L71" s="607" t="b">
        <f>IFERROR(VLOOKUP(N71,Groups!$D$7:$E$65,2,0),FALSE)</f>
        <v>1</v>
      </c>
      <c r="M71" s="608" t="str">
        <f t="shared" si="0"/>
        <v>3-BEFIJ</v>
      </c>
      <c r="N71" s="609" t="str">
        <f>IF(Distinctness!$G$17&gt;0,INDEX(ThirdPlaced!$C$4:$C$15,MATCH(O71,ThirdPlaced!$I$4:$I$15),0),"")</f>
        <v>Ivoorkust</v>
      </c>
      <c r="O71" s="610" t="str">
        <f>IFERROR(VLOOKUP(ThirdPlaced!$I$30,AssignThird!$C$8:$K$502,4,0),"")</f>
        <v>E</v>
      </c>
      <c r="P71" s="382"/>
      <c r="Q71" s="382"/>
      <c r="R71" s="382"/>
      <c r="S71" s="382"/>
      <c r="T71" s="382"/>
      <c r="U71" s="382"/>
      <c r="V71" s="382"/>
      <c r="W71" s="382"/>
      <c r="X71" s="382"/>
    </row>
    <row r="72" spans="2:24">
      <c r="B72" s="195">
        <v>69</v>
      </c>
      <c r="C72" s="193" t="s">
        <v>846</v>
      </c>
      <c r="D72" s="194" t="s">
        <v>847</v>
      </c>
      <c r="E72" s="175">
        <v>46200.916666666664</v>
      </c>
      <c r="F72" s="70">
        <f>$E72-VLOOKUP($G72,TimeZone!$L$4:$O$19,4,0)+VLOOKUP(TimeZone!$H$1,TimeZone!$C$4:$E$39,3,0)</f>
        <v>46201.166666666664</v>
      </c>
      <c r="G72" s="188">
        <v>4</v>
      </c>
      <c r="H72" s="185" t="str">
        <f>VLOOKUP($G72,Language!$D$103:$E$118,2,0)</f>
        <v>Kansas City</v>
      </c>
      <c r="I72" s="107" t="str">
        <f>VLOOKUP(C72,Groups!$B$7:$D$65,3,0)</f>
        <v>Algerije</v>
      </c>
      <c r="J72" s="107" t="str">
        <f>VLOOKUP(D72,Groups!$B$7:$D$65,3,0)</f>
        <v>Oostenrijk</v>
      </c>
      <c r="K72" s="99"/>
      <c r="L72" s="607" t="b">
        <f>IFERROR(VLOOKUP(N72,Groups!$D$7:$E$65,2,0),FALSE)</f>
        <v>1</v>
      </c>
      <c r="M72" s="608" t="str">
        <f t="shared" si="0"/>
        <v>3-ABCDF</v>
      </c>
      <c r="N72" s="609" t="str">
        <f>IF(Distinctness!$G$17&gt;0,INDEX(ThirdPlaced!$C$4:$C$15,MATCH(O72,ThirdPlaced!$I$4:$I$15),0),"")</f>
        <v>Australië</v>
      </c>
      <c r="O72" s="610" t="str">
        <f>IFERROR(VLOOKUP(ThirdPlaced!$I$30,AssignThird!$C$8:$K$502,5,0),"")</f>
        <v>D</v>
      </c>
      <c r="P72" s="382"/>
      <c r="Q72" s="382"/>
      <c r="R72" s="382"/>
      <c r="S72" s="382"/>
      <c r="T72" s="382"/>
      <c r="U72" s="382"/>
      <c r="V72" s="382"/>
      <c r="W72" s="382"/>
      <c r="X72" s="382"/>
    </row>
    <row r="73" spans="2:24">
      <c r="B73" s="195">
        <v>70</v>
      </c>
      <c r="C73" s="193" t="s">
        <v>1054</v>
      </c>
      <c r="D73" s="194" t="s">
        <v>845</v>
      </c>
      <c r="E73" s="175">
        <v>46200.916666666664</v>
      </c>
      <c r="F73" s="70">
        <f>$E73-VLOOKUP($G73,TimeZone!$L$4:$O$19,4,0)+VLOOKUP(TimeZone!$H$1,TimeZone!$C$4:$E$39,3,0)</f>
        <v>46201.166666666664</v>
      </c>
      <c r="G73" s="188">
        <v>5</v>
      </c>
      <c r="H73" s="185" t="str">
        <f>VLOOKUP($G73,Language!$D$103:$E$118,2,0)</f>
        <v>Dallas</v>
      </c>
      <c r="I73" s="107" t="str">
        <f>VLOOKUP(C73,Groups!$B$7:$D$65,3,0)</f>
        <v>Jordanië</v>
      </c>
      <c r="J73" s="107" t="str">
        <f>VLOOKUP(D73,Groups!$B$7:$D$65,3,0)</f>
        <v>Argentinië</v>
      </c>
      <c r="K73" s="99"/>
      <c r="L73" s="607" t="b">
        <f>IFERROR(VLOOKUP(N73,Groups!$D$7:$E$65,2,0),FALSE)</f>
        <v>1</v>
      </c>
      <c r="M73" s="608" t="str">
        <f t="shared" si="0"/>
        <v>3-AEHIJ</v>
      </c>
      <c r="N73" s="609" t="str">
        <f>IF(Distinctness!$G$17&gt;0,INDEX(ThirdPlaced!$C$4:$C$15,MATCH(O73,ThirdPlaced!$I$4:$I$15),0),"")</f>
        <v>Tsjechië</v>
      </c>
      <c r="O73" s="610" t="str">
        <f>IFERROR(VLOOKUP(ThirdPlaced!$I$30,AssignThird!$C$8:$K$502,6,0),"")</f>
        <v>A</v>
      </c>
      <c r="P73" s="382"/>
      <c r="Q73" s="382"/>
      <c r="R73" s="382"/>
      <c r="S73" s="382"/>
      <c r="T73" s="382"/>
      <c r="U73" s="382"/>
      <c r="V73" s="382"/>
      <c r="W73" s="382"/>
      <c r="X73" s="382"/>
    </row>
    <row r="74" spans="2:24">
      <c r="B74" s="195">
        <v>71</v>
      </c>
      <c r="C74" s="193" t="s">
        <v>1055</v>
      </c>
      <c r="D74" s="194" t="s">
        <v>848</v>
      </c>
      <c r="E74" s="175">
        <v>46200.8125</v>
      </c>
      <c r="F74" s="70">
        <f>$E74-VLOOKUP($G74,TimeZone!$L$4:$O$19,4,0)+VLOOKUP(TimeZone!$H$1,TimeZone!$C$4:$E$39,3,0)</f>
        <v>46201.0625</v>
      </c>
      <c r="G74" s="188">
        <v>13</v>
      </c>
      <c r="H74" s="185" t="str">
        <f>VLOOKUP($G74,Language!$D$103:$E$118,2,0)</f>
        <v>Miami</v>
      </c>
      <c r="I74" s="107" t="str">
        <f>VLOOKUP(C74,Groups!$B$7:$D$65,3,0)</f>
        <v>Colombia</v>
      </c>
      <c r="J74" s="107" t="str">
        <f>VLOOKUP(D74,Groups!$B$7:$D$65,3,0)</f>
        <v>Portugal</v>
      </c>
      <c r="K74" s="99"/>
      <c r="L74" s="607" t="b">
        <f>IFERROR(VLOOKUP(N74,Groups!$D$7:$E$65,2,0),FALSE)</f>
        <v>1</v>
      </c>
      <c r="M74" s="608" t="str">
        <f t="shared" si="0"/>
        <v>3-CDFGH</v>
      </c>
      <c r="N74" s="609" t="str">
        <f>IF(Distinctness!$G$17&gt;0,INDEX(ThirdPlaced!$C$4:$C$15,MATCH(O74,ThirdPlaced!$I$4:$I$15),0),"")</f>
        <v>Zweden</v>
      </c>
      <c r="O74" s="610" t="str">
        <f>IFERROR(VLOOKUP(ThirdPlaced!$I$30,AssignThird!$C$8:$K$502,7,0),"")</f>
        <v>F</v>
      </c>
      <c r="P74" s="382"/>
      <c r="Q74" s="382"/>
      <c r="R74" s="382"/>
      <c r="S74" s="382"/>
      <c r="T74" s="382"/>
      <c r="U74" s="382"/>
      <c r="V74" s="382"/>
      <c r="W74" s="382"/>
      <c r="X74" s="382"/>
    </row>
    <row r="75" spans="2:24">
      <c r="B75" s="195">
        <v>72</v>
      </c>
      <c r="C75" s="193" t="s">
        <v>849</v>
      </c>
      <c r="D75" s="194" t="s">
        <v>850</v>
      </c>
      <c r="E75" s="175">
        <v>46200.8125</v>
      </c>
      <c r="F75" s="70">
        <f>$E75-VLOOKUP($G75,TimeZone!$L$4:$O$19,4,0)+VLOOKUP(TimeZone!$H$1,TimeZone!$C$4:$E$39,3,0)</f>
        <v>46201.0625</v>
      </c>
      <c r="G75" s="188">
        <v>7</v>
      </c>
      <c r="H75" s="185" t="str">
        <f>VLOOKUP($G75,Language!$D$103:$E$118,2,0)</f>
        <v>Atlanta</v>
      </c>
      <c r="I75" s="107" t="str">
        <f>VLOOKUP(C75,Groups!$B$7:$D$65,3,0)</f>
        <v>Congo</v>
      </c>
      <c r="J75" s="107" t="str">
        <f>VLOOKUP(D75,Groups!$B$7:$D$65,3,0)</f>
        <v>Oezbekistan</v>
      </c>
      <c r="K75" s="99"/>
      <c r="L75" s="607" t="b">
        <f>IFERROR(VLOOKUP(N75,Groups!$D$7:$E$65,2,0),FALSE)</f>
        <v>1</v>
      </c>
      <c r="M75" s="608" t="str">
        <f t="shared" si="0"/>
        <v>3-DEIJL</v>
      </c>
      <c r="N75" s="609" t="str">
        <f>IF(Distinctness!$G$17&gt;0,INDEX(ThirdPlaced!$C$4:$C$15,MATCH(O75,ThirdPlaced!$I$4:$I$15),0),"")</f>
        <v>Panama</v>
      </c>
      <c r="O75" s="610" t="str">
        <f>IFERROR(VLOOKUP(ThirdPlaced!$I$30,AssignThird!$C$8:$K$502,8,0),"")</f>
        <v>L</v>
      </c>
    </row>
    <row r="76" spans="2:24" ht="15.75" thickBot="1">
      <c r="B76" s="71" t="s">
        <v>897</v>
      </c>
      <c r="C76" s="88"/>
      <c r="D76" s="88"/>
      <c r="E76" s="53"/>
      <c r="F76" s="54"/>
      <c r="G76" s="184"/>
      <c r="H76" s="54"/>
      <c r="I76" s="54"/>
      <c r="J76" s="54"/>
      <c r="K76" s="100"/>
      <c r="L76" s="611" t="b">
        <f>IFERROR(VLOOKUP(N76,Groups!$D$7:$E$65,2,0),FALSE)</f>
        <v>1</v>
      </c>
      <c r="M76" s="612" t="str">
        <f>M108</f>
        <v>3-EHIJK</v>
      </c>
      <c r="N76" s="613" t="str">
        <f>IF(Distinctness!$G$17&gt;0,INDEX(ThirdPlaced!$C$4:$C$15,MATCH(O76,ThirdPlaced!$I$4:$I$15),0),"")</f>
        <v>Noorwegen</v>
      </c>
      <c r="O76" s="614" t="str">
        <f>IFERROR(VLOOKUP(ThirdPlaced!$I$30,AssignThird!$C$8:$K$502,9,0),"")</f>
        <v>I</v>
      </c>
      <c r="P76" s="375"/>
      <c r="Q76" s="375"/>
      <c r="R76" s="375"/>
      <c r="S76" s="375"/>
      <c r="T76" s="375"/>
      <c r="U76" s="375"/>
      <c r="V76" s="375"/>
      <c r="W76" s="375"/>
      <c r="X76" s="375"/>
    </row>
    <row r="77" spans="2:24">
      <c r="B77" s="195">
        <v>73</v>
      </c>
      <c r="C77" s="193" t="s">
        <v>8</v>
      </c>
      <c r="D77" s="194" t="s">
        <v>9</v>
      </c>
      <c r="E77" s="175">
        <v>46201.625</v>
      </c>
      <c r="F77" s="70">
        <f>$E77-VLOOKUP($G77,TimeZone!$L$4:$O$19,4,0)+VLOOKUP(TimeZone!$H$1,TimeZone!$C$4:$E$39,3,0)</f>
        <v>46201.875</v>
      </c>
      <c r="G77" s="188">
        <v>8</v>
      </c>
      <c r="H77" s="185" t="str">
        <f>VLOOKUP($G77,Language!$D$103:$E$118,2,0)</f>
        <v>Los Angeles</v>
      </c>
      <c r="I77" s="107" t="str">
        <f>VLOOKUP(C77,$M$77:$N$108,2,0)</f>
        <v>Zuid-Korea</v>
      </c>
      <c r="J77" s="107" t="str">
        <f>VLOOKUP(D77,$M$77:$N$108,2,0)</f>
        <v>Canada</v>
      </c>
      <c r="K77" s="201">
        <v>1</v>
      </c>
      <c r="M77" s="597" t="s">
        <v>2</v>
      </c>
      <c r="N77" s="598" t="str">
        <f>'World Cup'!$B$42</f>
        <v>Mexico</v>
      </c>
      <c r="O77" s="375"/>
      <c r="P77" s="375"/>
      <c r="Q77" s="375"/>
      <c r="R77" s="375"/>
      <c r="S77" s="375"/>
      <c r="T77" s="375"/>
      <c r="U77" s="375"/>
      <c r="V77" s="375"/>
      <c r="W77" s="375"/>
      <c r="X77" s="375"/>
    </row>
    <row r="78" spans="2:24">
      <c r="B78" s="195">
        <v>74</v>
      </c>
      <c r="C78" s="193" t="s">
        <v>6</v>
      </c>
      <c r="D78" s="194" t="str">
        <f>AssignThird!$G$4</f>
        <v>3-ABCDF</v>
      </c>
      <c r="E78" s="175">
        <v>46202.6875</v>
      </c>
      <c r="F78" s="70">
        <f>$E78-VLOOKUP($G78,TimeZone!$L$4:$O$19,4,0)+VLOOKUP(TimeZone!$H$1,TimeZone!$C$4:$E$39,3,0)</f>
        <v>46202.9375</v>
      </c>
      <c r="G78" s="188">
        <v>12</v>
      </c>
      <c r="H78" s="185" t="str">
        <f>VLOOKUP($G78,Language!$D$103:$E$118,2,0)</f>
        <v>Boston</v>
      </c>
      <c r="I78" s="107" t="str">
        <f t="shared" ref="I78:I92" si="1">VLOOKUP(C78,$M$77:$N$108,2,0)</f>
        <v>Duitsland</v>
      </c>
      <c r="J78" s="107" t="str">
        <f t="shared" ref="J78:J92" si="2">VLOOKUP(D78,$M$77:$N$108,2,0)</f>
        <v>Australië</v>
      </c>
      <c r="K78" s="201">
        <v>3</v>
      </c>
      <c r="M78" s="599" t="s">
        <v>8</v>
      </c>
      <c r="N78" s="600" t="str">
        <f>'World Cup'!$B$43</f>
        <v>Zuid-Korea</v>
      </c>
      <c r="O78" s="375"/>
      <c r="P78" s="375"/>
      <c r="Q78" s="375"/>
      <c r="R78" s="375"/>
      <c r="S78" s="375"/>
      <c r="T78" s="375"/>
      <c r="U78" s="375"/>
      <c r="V78" s="375"/>
      <c r="W78" s="375"/>
      <c r="X78" s="375"/>
    </row>
    <row r="79" spans="2:24">
      <c r="B79" s="195">
        <v>75</v>
      </c>
      <c r="C79" s="193" t="s">
        <v>7</v>
      </c>
      <c r="D79" s="194" t="s">
        <v>10</v>
      </c>
      <c r="E79" s="175">
        <v>46202.875</v>
      </c>
      <c r="F79" s="70">
        <f>$E79-VLOOKUP($G79,TimeZone!$L$4:$O$19,4,0)+VLOOKUP(TimeZone!$H$1,TimeZone!$C$4:$E$39,3,0)</f>
        <v>46203.125</v>
      </c>
      <c r="G79" s="188">
        <v>16</v>
      </c>
      <c r="H79" s="185" t="str">
        <f>VLOOKUP($G79,Language!$D$103:$E$118,2,0)</f>
        <v>Monterrey</v>
      </c>
      <c r="I79" s="107" t="str">
        <f t="shared" si="1"/>
        <v>Nederland</v>
      </c>
      <c r="J79" s="107" t="str">
        <f t="shared" si="2"/>
        <v>Marokko</v>
      </c>
      <c r="K79" s="201">
        <v>4</v>
      </c>
      <c r="M79" s="599" t="s">
        <v>3</v>
      </c>
      <c r="N79" s="600" t="str">
        <f>'World Cup'!$E$42</f>
        <v>Zwitserland</v>
      </c>
      <c r="O79" s="375"/>
      <c r="P79" s="375"/>
      <c r="Q79" s="375"/>
      <c r="R79" s="375"/>
      <c r="S79" s="375"/>
      <c r="T79" s="375"/>
      <c r="U79" s="375"/>
      <c r="V79" s="375"/>
      <c r="W79" s="375"/>
      <c r="X79" s="375"/>
    </row>
    <row r="80" spans="2:24">
      <c r="B80" s="195">
        <v>76</v>
      </c>
      <c r="C80" s="193" t="s">
        <v>4</v>
      </c>
      <c r="D80" s="194" t="s">
        <v>13</v>
      </c>
      <c r="E80" s="175">
        <v>46202.541666666664</v>
      </c>
      <c r="F80" s="70">
        <f>$E80-VLOOKUP($G80,TimeZone!$L$4:$O$19,4,0)+VLOOKUP(TimeZone!$H$1,TimeZone!$C$4:$E$39,3,0)</f>
        <v>46202.791666666664</v>
      </c>
      <c r="G80" s="188">
        <v>6</v>
      </c>
      <c r="H80" s="185" t="str">
        <f>VLOOKUP($G80,Language!$D$103:$E$118,2,0)</f>
        <v>Houston</v>
      </c>
      <c r="I80" s="107" t="str">
        <f t="shared" si="1"/>
        <v>Brazilië</v>
      </c>
      <c r="J80" s="107" t="str">
        <f t="shared" si="2"/>
        <v>Japan</v>
      </c>
      <c r="K80" s="201">
        <v>2</v>
      </c>
      <c r="M80" s="599" t="s">
        <v>9</v>
      </c>
      <c r="N80" s="600" t="str">
        <f>'World Cup'!$E$43</f>
        <v>Canada</v>
      </c>
      <c r="O80" s="375"/>
      <c r="P80" s="375"/>
      <c r="Q80" s="375"/>
      <c r="R80" s="375"/>
      <c r="S80" s="375"/>
      <c r="T80" s="375"/>
      <c r="U80" s="375"/>
      <c r="V80" s="375"/>
      <c r="W80" s="375"/>
      <c r="X80" s="375"/>
    </row>
    <row r="81" spans="2:24">
      <c r="B81" s="195">
        <v>77</v>
      </c>
      <c r="C81" s="193" t="s">
        <v>855</v>
      </c>
      <c r="D81" s="194" t="str">
        <f>AssignThird!$I$4</f>
        <v>3-CDFGH</v>
      </c>
      <c r="E81" s="175">
        <v>46203.708333333336</v>
      </c>
      <c r="F81" s="70">
        <f>$E81-VLOOKUP($G81,TimeZone!$L$4:$O$19,4,0)+VLOOKUP(TimeZone!$H$1,TimeZone!$C$4:$E$39,3,0)</f>
        <v>46203.958333333336</v>
      </c>
      <c r="G81" s="188">
        <v>3</v>
      </c>
      <c r="H81" s="185" t="str">
        <f>VLOOKUP($G81,Language!$D$103:$E$118,2,0)</f>
        <v>New York/New Jersey</v>
      </c>
      <c r="I81" s="107" t="str">
        <f t="shared" si="1"/>
        <v>Frankrijk</v>
      </c>
      <c r="J81" s="107" t="str">
        <f t="shared" si="2"/>
        <v>Zweden</v>
      </c>
      <c r="K81" s="201">
        <v>6</v>
      </c>
      <c r="M81" s="599" t="s">
        <v>4</v>
      </c>
      <c r="N81" s="600" t="str">
        <f>'World Cup'!$H$42</f>
        <v>Brazilië</v>
      </c>
      <c r="O81" s="375"/>
      <c r="P81" s="375"/>
      <c r="Q81" s="375"/>
      <c r="R81" s="375"/>
      <c r="S81" s="375"/>
      <c r="T81" s="375"/>
      <c r="U81" s="375"/>
      <c r="V81" s="375"/>
      <c r="W81" s="375"/>
      <c r="X81" s="375"/>
    </row>
    <row r="82" spans="2:24">
      <c r="B82" s="195">
        <v>78</v>
      </c>
      <c r="C82" s="193" t="s">
        <v>12</v>
      </c>
      <c r="D82" s="194" t="s">
        <v>856</v>
      </c>
      <c r="E82" s="175">
        <v>46203.541666666664</v>
      </c>
      <c r="F82" s="70">
        <f>$E82-VLOOKUP($G82,TimeZone!$L$4:$O$19,4,0)+VLOOKUP(TimeZone!$H$1,TimeZone!$C$4:$E$39,3,0)</f>
        <v>46203.791666666664</v>
      </c>
      <c r="G82" s="188">
        <v>5</v>
      </c>
      <c r="H82" s="185" t="str">
        <f>VLOOKUP($G82,Language!$D$103:$E$118,2,0)</f>
        <v>Dallas</v>
      </c>
      <c r="I82" s="107" t="str">
        <f t="shared" si="1"/>
        <v>Ecuador</v>
      </c>
      <c r="J82" s="107" t="str">
        <f t="shared" si="2"/>
        <v>Senegal</v>
      </c>
      <c r="K82" s="201">
        <v>5</v>
      </c>
      <c r="M82" s="599" t="s">
        <v>10</v>
      </c>
      <c r="N82" s="600" t="str">
        <f>'World Cup'!$H$43</f>
        <v>Marokko</v>
      </c>
      <c r="O82" s="375"/>
      <c r="P82" s="375"/>
      <c r="Q82" s="375"/>
      <c r="R82" s="375"/>
      <c r="S82" s="375"/>
      <c r="T82" s="375"/>
      <c r="U82" s="375"/>
      <c r="V82" s="375"/>
      <c r="W82" s="375"/>
      <c r="X82" s="375"/>
    </row>
    <row r="83" spans="2:24">
      <c r="B83" s="195">
        <v>79</v>
      </c>
      <c r="C83" s="193" t="s">
        <v>2</v>
      </c>
      <c r="D83" s="194" t="str">
        <f>AssignThird!$D$4</f>
        <v>3-CEFHI</v>
      </c>
      <c r="E83" s="175">
        <v>46203.875</v>
      </c>
      <c r="F83" s="70">
        <f>$E83-VLOOKUP($G83,TimeZone!$L$4:$O$19,4,0)+VLOOKUP(TimeZone!$H$1,TimeZone!$C$4:$E$39,3,0)</f>
        <v>46204.125</v>
      </c>
      <c r="G83" s="186">
        <v>14</v>
      </c>
      <c r="H83" s="185" t="str">
        <f>VLOOKUP($G83,Language!$D$103:$E$118,2,0)</f>
        <v>Mexico City</v>
      </c>
      <c r="I83" s="107" t="str">
        <f t="shared" si="1"/>
        <v>Mexico</v>
      </c>
      <c r="J83" s="107" t="str">
        <f t="shared" si="2"/>
        <v>Schotland</v>
      </c>
      <c r="K83" s="201">
        <v>7</v>
      </c>
      <c r="M83" s="599" t="s">
        <v>5</v>
      </c>
      <c r="N83" s="600" t="str">
        <f>'World Cup'!$K$42</f>
        <v>USA</v>
      </c>
      <c r="O83" s="375"/>
      <c r="P83" s="375"/>
      <c r="Q83" s="375"/>
      <c r="R83" s="375"/>
      <c r="S83" s="375"/>
      <c r="T83" s="375"/>
      <c r="U83" s="375"/>
      <c r="V83" s="375"/>
      <c r="W83" s="375"/>
      <c r="X83" s="375"/>
    </row>
    <row r="84" spans="2:24">
      <c r="B84" s="195">
        <v>80</v>
      </c>
      <c r="C84" s="193" t="s">
        <v>864</v>
      </c>
      <c r="D84" s="194" t="str">
        <f>AssignThird!$K$4</f>
        <v>3-EHIJK</v>
      </c>
      <c r="E84" s="175">
        <v>46204.5</v>
      </c>
      <c r="F84" s="70">
        <f>$E84-VLOOKUP($G84,TimeZone!$L$4:$O$19,4,0)+VLOOKUP(TimeZone!$H$1,TimeZone!$C$4:$E$39,3,0)</f>
        <v>46204.75</v>
      </c>
      <c r="G84" s="188">
        <v>7</v>
      </c>
      <c r="H84" s="185" t="str">
        <f>VLOOKUP($G84,Language!$D$103:$E$118,2,0)</f>
        <v>Atlanta</v>
      </c>
      <c r="I84" s="107" t="str">
        <f t="shared" si="1"/>
        <v>Engeland</v>
      </c>
      <c r="J84" s="107" t="str">
        <f t="shared" si="2"/>
        <v>Noorwegen</v>
      </c>
      <c r="K84" s="201">
        <v>8</v>
      </c>
      <c r="M84" s="599" t="s">
        <v>11</v>
      </c>
      <c r="N84" s="600" t="str">
        <f>'World Cup'!$K$43</f>
        <v>Turkije</v>
      </c>
      <c r="O84" s="375"/>
      <c r="P84" s="375"/>
      <c r="Q84" s="375"/>
      <c r="R84" s="375"/>
      <c r="S84" s="375"/>
      <c r="T84" s="375"/>
      <c r="U84" s="375"/>
      <c r="V84" s="375"/>
      <c r="W84" s="375"/>
      <c r="X84" s="375"/>
    </row>
    <row r="85" spans="2:24">
      <c r="B85" s="195">
        <v>81</v>
      </c>
      <c r="C85" s="193" t="s">
        <v>5</v>
      </c>
      <c r="D85" s="194" t="str">
        <f>AssignThird!$F$4</f>
        <v>3-BEFIJ</v>
      </c>
      <c r="E85" s="175">
        <v>46204.833333333336</v>
      </c>
      <c r="F85" s="70">
        <f>$E85-VLOOKUP($G85,TimeZone!$L$4:$O$19,4,0)+VLOOKUP(TimeZone!$H$1,TimeZone!$C$4:$E$39,3,0)</f>
        <v>46205.083333333336</v>
      </c>
      <c r="G85" s="188">
        <v>11</v>
      </c>
      <c r="H85" s="185" t="str">
        <f>VLOOKUP($G85,Language!$D$103:$E$118,2,0)</f>
        <v>San Francisco Bay Area</v>
      </c>
      <c r="I85" s="107" t="str">
        <f t="shared" si="1"/>
        <v>USA</v>
      </c>
      <c r="J85" s="107" t="str">
        <f t="shared" si="2"/>
        <v>Ivoorkust</v>
      </c>
      <c r="K85" s="201">
        <v>10</v>
      </c>
      <c r="M85" s="599" t="s">
        <v>6</v>
      </c>
      <c r="N85" s="600" t="str">
        <f>'World Cup'!$N$42</f>
        <v>Duitsland</v>
      </c>
      <c r="O85" s="375"/>
      <c r="P85" s="375"/>
      <c r="Q85" s="375"/>
      <c r="R85" s="375"/>
      <c r="S85" s="375"/>
      <c r="T85" s="375"/>
      <c r="U85" s="375"/>
      <c r="V85" s="375"/>
      <c r="W85" s="375"/>
      <c r="X85" s="375"/>
    </row>
    <row r="86" spans="2:24">
      <c r="B86" s="195">
        <v>82</v>
      </c>
      <c r="C86" s="193" t="s">
        <v>93</v>
      </c>
      <c r="D86" s="194" t="str">
        <f>AssignThird!$H$4</f>
        <v>3-AEHIJ</v>
      </c>
      <c r="E86" s="175">
        <v>46204.666666666664</v>
      </c>
      <c r="F86" s="70">
        <f>$E86-VLOOKUP($G86,TimeZone!$L$4:$O$19,4,0)+VLOOKUP(TimeZone!$H$1,TimeZone!$C$4:$E$39,3,0)</f>
        <v>46204.916666666664</v>
      </c>
      <c r="G86" s="188">
        <v>10</v>
      </c>
      <c r="H86" s="185" t="str">
        <f>VLOOKUP($G86,Language!$D$103:$E$118,2,0)</f>
        <v>Seattle</v>
      </c>
      <c r="I86" s="107" t="str">
        <f t="shared" si="1"/>
        <v>België</v>
      </c>
      <c r="J86" s="107" t="str">
        <f t="shared" si="2"/>
        <v>Tsjechië</v>
      </c>
      <c r="K86" s="201">
        <v>9</v>
      </c>
      <c r="M86" s="599" t="s">
        <v>12</v>
      </c>
      <c r="N86" s="600" t="str">
        <f>'World Cup'!$N$43</f>
        <v>Ecuador</v>
      </c>
      <c r="O86" s="375"/>
      <c r="P86" s="375"/>
      <c r="Q86" s="375"/>
      <c r="R86" s="375"/>
      <c r="S86" s="375"/>
      <c r="T86" s="375"/>
      <c r="U86" s="375"/>
      <c r="V86" s="375"/>
      <c r="W86" s="375"/>
      <c r="X86" s="375"/>
    </row>
    <row r="87" spans="2:24">
      <c r="B87" s="195">
        <v>83</v>
      </c>
      <c r="C87" s="193" t="s">
        <v>862</v>
      </c>
      <c r="D87" s="194" t="s">
        <v>865</v>
      </c>
      <c r="E87" s="175">
        <v>46205.791666666664</v>
      </c>
      <c r="F87" s="70">
        <f>$E87-VLOOKUP($G87,TimeZone!$L$4:$O$19,4,0)+VLOOKUP(TimeZone!$H$1,TimeZone!$C$4:$E$39,3,0)</f>
        <v>46206.041666666664</v>
      </c>
      <c r="G87" s="188">
        <v>2</v>
      </c>
      <c r="H87" s="185" t="str">
        <f>VLOOKUP($G87,Language!$D$103:$E$118,2,0)</f>
        <v>Toronto</v>
      </c>
      <c r="I87" s="107" t="str">
        <f t="shared" si="1"/>
        <v>Colombia</v>
      </c>
      <c r="J87" s="107" t="str">
        <f t="shared" si="2"/>
        <v>Kroatië</v>
      </c>
      <c r="K87" s="201">
        <v>12</v>
      </c>
      <c r="M87" s="599" t="s">
        <v>7</v>
      </c>
      <c r="N87" s="600" t="str">
        <f>'World Cup'!$Q$42</f>
        <v>Nederland</v>
      </c>
      <c r="O87" s="375"/>
      <c r="P87" s="375"/>
      <c r="Q87" s="375"/>
      <c r="R87" s="375"/>
      <c r="S87" s="375"/>
      <c r="T87" s="375"/>
      <c r="U87" s="375"/>
      <c r="V87" s="375"/>
      <c r="W87" s="375"/>
      <c r="X87" s="375"/>
    </row>
    <row r="88" spans="2:24">
      <c r="B88" s="195">
        <v>84</v>
      </c>
      <c r="C88" s="193" t="s">
        <v>96</v>
      </c>
      <c r="D88" s="194" t="s">
        <v>859</v>
      </c>
      <c r="E88" s="175">
        <v>46205.625</v>
      </c>
      <c r="F88" s="70">
        <f>$E88-VLOOKUP($G88,TimeZone!$L$4:$O$19,4,0)+VLOOKUP(TimeZone!$H$1,TimeZone!$C$4:$E$39,3,0)</f>
        <v>46205.875</v>
      </c>
      <c r="G88" s="188">
        <v>8</v>
      </c>
      <c r="H88" s="185" t="str">
        <f>VLOOKUP($G88,Language!$D$103:$E$118,2,0)</f>
        <v>Los Angeles</v>
      </c>
      <c r="I88" s="107" t="str">
        <f t="shared" si="1"/>
        <v>Spanje</v>
      </c>
      <c r="J88" s="107" t="str">
        <f t="shared" si="2"/>
        <v>Oostenrijk</v>
      </c>
      <c r="K88" s="201">
        <v>11</v>
      </c>
      <c r="M88" s="599" t="s">
        <v>13</v>
      </c>
      <c r="N88" s="600" t="str">
        <f>'World Cup'!$Q$43</f>
        <v>Japan</v>
      </c>
      <c r="O88" s="375"/>
      <c r="P88" s="375"/>
      <c r="Q88" s="375"/>
      <c r="R88" s="375"/>
      <c r="S88" s="375"/>
      <c r="T88" s="375"/>
      <c r="U88" s="375"/>
      <c r="V88" s="375"/>
      <c r="W88" s="375"/>
      <c r="X88" s="375"/>
    </row>
    <row r="89" spans="2:24">
      <c r="B89" s="195">
        <v>85</v>
      </c>
      <c r="C89" s="193" t="s">
        <v>3</v>
      </c>
      <c r="D89" s="194" t="str">
        <f>AssignThird!$E$4</f>
        <v>3-EFGIJ</v>
      </c>
      <c r="E89" s="175">
        <v>46205.958333333336</v>
      </c>
      <c r="F89" s="70">
        <f>$E89-VLOOKUP($G89,TimeZone!$L$4:$O$19,4,0)+VLOOKUP(TimeZone!$H$1,TimeZone!$C$4:$E$39,3,0)</f>
        <v>46206.208333333336</v>
      </c>
      <c r="G89" s="188">
        <v>1</v>
      </c>
      <c r="H89" s="185" t="str">
        <f>VLOOKUP($G89,Language!$D$103:$E$118,2,0)</f>
        <v>Vancouver</v>
      </c>
      <c r="I89" s="107" t="str">
        <f t="shared" si="1"/>
        <v>Zwitserland</v>
      </c>
      <c r="J89" s="107" t="str">
        <f t="shared" si="2"/>
        <v>Algerije</v>
      </c>
      <c r="K89" s="201">
        <v>13</v>
      </c>
      <c r="M89" s="599" t="s">
        <v>93</v>
      </c>
      <c r="N89" s="600" t="str">
        <f>'World Cup'!$T$42</f>
        <v>België</v>
      </c>
      <c r="O89" s="375"/>
      <c r="P89" s="375"/>
      <c r="Q89" s="375"/>
      <c r="R89" s="375"/>
      <c r="S89" s="375"/>
      <c r="T89" s="375"/>
      <c r="U89" s="375"/>
      <c r="V89" s="375"/>
      <c r="W89" s="375"/>
      <c r="X89" s="375"/>
    </row>
    <row r="90" spans="2:24">
      <c r="B90" s="195">
        <v>86</v>
      </c>
      <c r="C90" s="193" t="s">
        <v>858</v>
      </c>
      <c r="D90" s="194" t="s">
        <v>97</v>
      </c>
      <c r="E90" s="175">
        <v>46206.75</v>
      </c>
      <c r="F90" s="70">
        <f>$E90-VLOOKUP($G90,TimeZone!$L$4:$O$19,4,0)+VLOOKUP(TimeZone!$H$1,TimeZone!$C$4:$E$39,3,0)</f>
        <v>46207</v>
      </c>
      <c r="G90" s="188">
        <v>13</v>
      </c>
      <c r="H90" s="185" t="str">
        <f>VLOOKUP($G90,Language!$D$103:$E$118,2,0)</f>
        <v>Miami</v>
      </c>
      <c r="I90" s="107" t="str">
        <f t="shared" si="1"/>
        <v>Argentinië</v>
      </c>
      <c r="J90" s="107" t="str">
        <f t="shared" si="2"/>
        <v>Uruguay</v>
      </c>
      <c r="K90" s="201">
        <v>15</v>
      </c>
      <c r="M90" s="599" t="s">
        <v>94</v>
      </c>
      <c r="N90" s="600" t="str">
        <f>'World Cup'!$T$43</f>
        <v>Nieuw-Zeeland</v>
      </c>
      <c r="O90" s="375"/>
      <c r="P90" s="375"/>
      <c r="Q90" s="375"/>
      <c r="R90" s="375"/>
      <c r="S90" s="375"/>
      <c r="T90" s="375"/>
      <c r="U90" s="375"/>
      <c r="V90" s="375"/>
      <c r="W90" s="375"/>
      <c r="X90" s="375"/>
    </row>
    <row r="91" spans="2:24">
      <c r="B91" s="195">
        <v>87</v>
      </c>
      <c r="C91" s="193" t="s">
        <v>861</v>
      </c>
      <c r="D91" s="194" t="str">
        <f>AssignThird!$J$4</f>
        <v>3-DEIJL</v>
      </c>
      <c r="E91" s="175">
        <v>46206.895833333336</v>
      </c>
      <c r="F91" s="70">
        <f>$E91-VLOOKUP($G91,TimeZone!$L$4:$O$19,4,0)+VLOOKUP(TimeZone!$H$1,TimeZone!$C$4:$E$39,3,0)</f>
        <v>46207.145833333336</v>
      </c>
      <c r="G91" s="188">
        <v>4</v>
      </c>
      <c r="H91" s="185" t="str">
        <f>VLOOKUP($G91,Language!$D$103:$E$118,2,0)</f>
        <v>Kansas City</v>
      </c>
      <c r="I91" s="107" t="str">
        <f t="shared" si="1"/>
        <v>Portugal</v>
      </c>
      <c r="J91" s="107" t="str">
        <f t="shared" si="2"/>
        <v>Panama</v>
      </c>
      <c r="K91" s="201">
        <v>16</v>
      </c>
      <c r="M91" s="599" t="s">
        <v>96</v>
      </c>
      <c r="N91" s="600" t="str">
        <f>'World Cup'!$W$42</f>
        <v>Spanje</v>
      </c>
      <c r="O91" s="375"/>
      <c r="P91" s="375"/>
      <c r="Q91" s="375"/>
      <c r="R91" s="375"/>
      <c r="S91" s="375"/>
      <c r="T91" s="375"/>
      <c r="U91" s="375"/>
      <c r="V91" s="375"/>
      <c r="W91" s="375"/>
      <c r="X91" s="375"/>
    </row>
    <row r="92" spans="2:24" ht="15.75" thickBot="1">
      <c r="B92" s="195">
        <v>88</v>
      </c>
      <c r="C92" s="193" t="s">
        <v>11</v>
      </c>
      <c r="D92" s="194" t="s">
        <v>94</v>
      </c>
      <c r="E92" s="175">
        <v>46206.583333333336</v>
      </c>
      <c r="F92" s="70">
        <f>$E92-VLOOKUP($G92,TimeZone!$L$4:$O$19,4,0)+VLOOKUP(TimeZone!$H$1,TimeZone!$C$4:$E$39,3,0)</f>
        <v>46206.833333333336</v>
      </c>
      <c r="G92" s="188">
        <v>5</v>
      </c>
      <c r="H92" s="185" t="str">
        <f>VLOOKUP($G92,Language!$D$103:$E$118,2,0)</f>
        <v>Dallas</v>
      </c>
      <c r="I92" s="107" t="str">
        <f t="shared" si="1"/>
        <v>Turkije</v>
      </c>
      <c r="J92" s="107" t="str">
        <f t="shared" si="2"/>
        <v>Nieuw-Zeeland</v>
      </c>
      <c r="K92" s="201">
        <v>14</v>
      </c>
      <c r="M92" s="601" t="s">
        <v>97</v>
      </c>
      <c r="N92" s="602" t="str">
        <f>'World Cup'!$W$43</f>
        <v>Uruguay</v>
      </c>
      <c r="O92" s="375"/>
      <c r="P92" s="375"/>
      <c r="Q92" s="375"/>
      <c r="R92" s="375"/>
      <c r="S92" s="375"/>
      <c r="T92" s="375"/>
      <c r="U92" s="375"/>
      <c r="V92" s="375"/>
      <c r="W92" s="375"/>
      <c r="X92" s="375"/>
    </row>
    <row r="93" spans="2:24">
      <c r="B93" s="71" t="s">
        <v>566</v>
      </c>
      <c r="C93" s="88"/>
      <c r="D93" s="88"/>
      <c r="E93" s="53"/>
      <c r="F93" s="54"/>
      <c r="G93" s="184"/>
      <c r="H93" s="54"/>
      <c r="I93" s="54"/>
      <c r="J93" s="54"/>
      <c r="K93" s="100"/>
      <c r="M93" s="597" t="s">
        <v>855</v>
      </c>
      <c r="N93" s="598" t="str">
        <f>'World Cup'!$Z$42</f>
        <v>Frankrijk</v>
      </c>
    </row>
    <row r="94" spans="2:24">
      <c r="B94" s="195">
        <v>89</v>
      </c>
      <c r="C94" s="193" t="s">
        <v>884</v>
      </c>
      <c r="D94" s="194" t="s">
        <v>887</v>
      </c>
      <c r="E94" s="175">
        <v>46207.708333333336</v>
      </c>
      <c r="F94" s="70">
        <f>$E94-VLOOKUP($G94,TimeZone!$L$4:$O$19,4,0)+VLOOKUP(TimeZone!$H$1,TimeZone!$C$4:$E$39,3,0)</f>
        <v>46207.958333333336</v>
      </c>
      <c r="G94" s="188">
        <v>9</v>
      </c>
      <c r="H94" s="185" t="str">
        <f>VLOOKUP($G94,Language!$D$103:$E$118,2,0)</f>
        <v>Philadelphia</v>
      </c>
      <c r="I94" s="384"/>
      <c r="J94" s="384"/>
      <c r="K94" s="201">
        <v>2</v>
      </c>
      <c r="L94" s="51"/>
      <c r="M94" s="599" t="s">
        <v>856</v>
      </c>
      <c r="N94" s="600" t="str">
        <f>'World Cup'!$Z$43</f>
        <v>Senegal</v>
      </c>
    </row>
    <row r="95" spans="2:24">
      <c r="B95" s="195">
        <v>90</v>
      </c>
      <c r="C95" s="193" t="s">
        <v>883</v>
      </c>
      <c r="D95" s="194" t="s">
        <v>885</v>
      </c>
      <c r="E95" s="175">
        <v>46207.541666666664</v>
      </c>
      <c r="F95" s="70">
        <f>$E95-VLOOKUP($G95,TimeZone!$L$4:$O$19,4,0)+VLOOKUP(TimeZone!$H$1,TimeZone!$C$4:$E$39,3,0)</f>
        <v>46207.791666666664</v>
      </c>
      <c r="G95" s="188">
        <v>6</v>
      </c>
      <c r="H95" s="185" t="str">
        <f>VLOOKUP($G95,Language!$D$103:$E$118,2,0)</f>
        <v>Houston</v>
      </c>
      <c r="I95" s="385"/>
      <c r="J95" s="385"/>
      <c r="K95" s="201">
        <v>1</v>
      </c>
      <c r="L95" s="51"/>
      <c r="M95" s="599" t="s">
        <v>858</v>
      </c>
      <c r="N95" s="600" t="str">
        <f>'World Cup'!$AC$42</f>
        <v>Argentinië</v>
      </c>
    </row>
    <row r="96" spans="2:24">
      <c r="B96" s="195">
        <v>91</v>
      </c>
      <c r="C96" s="193" t="s">
        <v>886</v>
      </c>
      <c r="D96" s="194" t="s">
        <v>888</v>
      </c>
      <c r="E96" s="175">
        <v>46208.666666666664</v>
      </c>
      <c r="F96" s="70">
        <f>$E96-VLOOKUP($G96,TimeZone!$L$4:$O$19,4,0)+VLOOKUP(TimeZone!$H$1,TimeZone!$C$4:$E$39,3,0)</f>
        <v>46208.916666666664</v>
      </c>
      <c r="G96" s="188">
        <v>3</v>
      </c>
      <c r="H96" s="185" t="str">
        <f>VLOOKUP($G96,Language!$D$103:$E$118,2,0)</f>
        <v>New York/New Jersey</v>
      </c>
      <c r="I96" s="385"/>
      <c r="J96" s="385"/>
      <c r="K96" s="201">
        <v>3</v>
      </c>
      <c r="L96" s="51"/>
      <c r="M96" s="599" t="s">
        <v>859</v>
      </c>
      <c r="N96" s="600" t="str">
        <f>'World Cup'!$AC$43</f>
        <v>Oostenrijk</v>
      </c>
    </row>
    <row r="97" spans="2:25">
      <c r="B97" s="195">
        <v>92</v>
      </c>
      <c r="C97" s="193" t="s">
        <v>1057</v>
      </c>
      <c r="D97" s="194" t="s">
        <v>1062</v>
      </c>
      <c r="E97" s="175">
        <v>46208.833333333336</v>
      </c>
      <c r="F97" s="70">
        <f>$E97-VLOOKUP($G97,TimeZone!$L$4:$O$19,4,0)+VLOOKUP(TimeZone!$H$1,TimeZone!$C$4:$E$39,3,0)</f>
        <v>46209.083333333336</v>
      </c>
      <c r="G97" s="186">
        <v>14</v>
      </c>
      <c r="H97" s="185" t="str">
        <f>VLOOKUP($G97,Language!$D$103:$E$118,2,0)</f>
        <v>Mexico City</v>
      </c>
      <c r="I97" s="385"/>
      <c r="J97" s="385"/>
      <c r="K97" s="201">
        <v>4</v>
      </c>
      <c r="L97" s="51"/>
      <c r="M97" s="599" t="s">
        <v>861</v>
      </c>
      <c r="N97" s="600" t="str">
        <f>'World Cup'!$AF$42</f>
        <v>Portugal</v>
      </c>
    </row>
    <row r="98" spans="2:25">
      <c r="B98" s="195">
        <v>93</v>
      </c>
      <c r="C98" s="193" t="s">
        <v>1059</v>
      </c>
      <c r="D98" s="194" t="s">
        <v>1064</v>
      </c>
      <c r="E98" s="175">
        <v>46209.625</v>
      </c>
      <c r="F98" s="70">
        <f>$E98-VLOOKUP($G98,TimeZone!$L$4:$O$19,4,0)+VLOOKUP(TimeZone!$H$1,TimeZone!$C$4:$E$39,3,0)</f>
        <v>46209.875</v>
      </c>
      <c r="G98" s="188">
        <v>5</v>
      </c>
      <c r="H98" s="185" t="str">
        <f>VLOOKUP($G98,Language!$D$103:$E$118,2,0)</f>
        <v>Dallas</v>
      </c>
      <c r="I98" s="385"/>
      <c r="J98" s="385"/>
      <c r="K98" s="201">
        <v>5</v>
      </c>
      <c r="L98" s="51"/>
      <c r="M98" s="599" t="s">
        <v>862</v>
      </c>
      <c r="N98" s="600" t="str">
        <f>'World Cup'!$AF$43</f>
        <v>Colombia</v>
      </c>
    </row>
    <row r="99" spans="2:25">
      <c r="B99" s="195">
        <v>94</v>
      </c>
      <c r="C99" s="193" t="s">
        <v>1058</v>
      </c>
      <c r="D99" s="194" t="s">
        <v>1063</v>
      </c>
      <c r="E99" s="175">
        <v>46209.833333333336</v>
      </c>
      <c r="F99" s="70">
        <f>$E99-VLOOKUP($G99,TimeZone!$L$4:$O$19,4,0)+VLOOKUP(TimeZone!$H$1,TimeZone!$C$4:$E$39,3,0)</f>
        <v>46210.083333333336</v>
      </c>
      <c r="G99" s="188">
        <v>10</v>
      </c>
      <c r="H99" s="185" t="str">
        <f>VLOOKUP($G99,Language!$D$103:$E$118,2,0)</f>
        <v>Seattle</v>
      </c>
      <c r="I99" s="385"/>
      <c r="J99" s="385"/>
      <c r="K99" s="201">
        <v>6</v>
      </c>
      <c r="L99" s="51"/>
      <c r="M99" s="599" t="s">
        <v>864</v>
      </c>
      <c r="N99" s="600" t="str">
        <f>'World Cup'!$AI$42</f>
        <v>Engeland</v>
      </c>
    </row>
    <row r="100" spans="2:25">
      <c r="B100" s="195">
        <v>95</v>
      </c>
      <c r="C100" s="193" t="s">
        <v>1065</v>
      </c>
      <c r="D100" s="194" t="s">
        <v>1066</v>
      </c>
      <c r="E100" s="175">
        <v>46210.5</v>
      </c>
      <c r="F100" s="70">
        <f>$E100-VLOOKUP($G100,TimeZone!$L$4:$O$19,4,0)+VLOOKUP(TimeZone!$H$1,TimeZone!$C$4:$E$39,3,0)</f>
        <v>46210.75</v>
      </c>
      <c r="G100" s="188">
        <v>7</v>
      </c>
      <c r="H100" s="185" t="str">
        <f>VLOOKUP($G100,Language!$D$103:$E$118,2,0)</f>
        <v>Atlanta</v>
      </c>
      <c r="I100" s="385"/>
      <c r="J100" s="385"/>
      <c r="K100" s="201">
        <v>7</v>
      </c>
      <c r="L100" s="51"/>
      <c r="M100" s="599" t="s">
        <v>865</v>
      </c>
      <c r="N100" s="600" t="str">
        <f>'World Cup'!$AI$43</f>
        <v>Kroatië</v>
      </c>
    </row>
    <row r="101" spans="2:25">
      <c r="B101" s="195">
        <v>96</v>
      </c>
      <c r="C101" s="193" t="s">
        <v>1060</v>
      </c>
      <c r="D101" s="194" t="s">
        <v>1061</v>
      </c>
      <c r="E101" s="175">
        <v>46210.666666666664</v>
      </c>
      <c r="F101" s="70">
        <f>$E101-VLOOKUP($G101,TimeZone!$L$4:$O$19,4,0)+VLOOKUP(TimeZone!$H$1,TimeZone!$C$4:$E$39,3,0)</f>
        <v>46210.916666666664</v>
      </c>
      <c r="G101" s="187">
        <v>1</v>
      </c>
      <c r="H101" s="185" t="str">
        <f>VLOOKUP($G101,Language!$D$103:$E$118,2,0)</f>
        <v>Vancouver</v>
      </c>
      <c r="I101" s="386"/>
      <c r="J101" s="386"/>
      <c r="K101" s="201">
        <v>8</v>
      </c>
      <c r="L101" s="51"/>
      <c r="M101" s="599" t="str">
        <f>AssignThird!$D$4</f>
        <v>3-CEFHI</v>
      </c>
      <c r="N101" s="600" t="str">
        <f>IF(L69,N69,"")</f>
        <v>Schotland</v>
      </c>
    </row>
    <row r="102" spans="2:25">
      <c r="B102" s="71" t="s">
        <v>133</v>
      </c>
      <c r="C102" s="88"/>
      <c r="D102" s="88"/>
      <c r="E102" s="53"/>
      <c r="F102" s="54"/>
      <c r="G102" s="184"/>
      <c r="H102" s="54"/>
      <c r="I102" s="54"/>
      <c r="J102" s="54"/>
      <c r="K102" s="101"/>
      <c r="M102" s="599" t="str">
        <f>AssignThird!$E$4</f>
        <v>3-EFGIJ</v>
      </c>
      <c r="N102" s="600" t="str">
        <f t="shared" ref="N102:N108" si="3">IF(L70,N70,"")</f>
        <v>Algerije</v>
      </c>
    </row>
    <row r="103" spans="2:25">
      <c r="B103" s="195">
        <v>97</v>
      </c>
      <c r="C103" s="193" t="s">
        <v>1067</v>
      </c>
      <c r="D103" s="194" t="s">
        <v>1071</v>
      </c>
      <c r="E103" s="175">
        <v>46212.666666666664</v>
      </c>
      <c r="F103" s="70">
        <f>$E103-VLOOKUP($G103,TimeZone!$L$4:$O$19,4,0)+VLOOKUP(TimeZone!$H$1,TimeZone!$C$4:$E$39,3,0)</f>
        <v>46212.916666666664</v>
      </c>
      <c r="G103" s="188">
        <v>12</v>
      </c>
      <c r="H103" s="185" t="str">
        <f>VLOOKUP($G103,Language!$D$103:$E$118,2,0)</f>
        <v>Boston</v>
      </c>
      <c r="I103" s="52"/>
      <c r="J103" s="52"/>
      <c r="K103" s="201">
        <v>1</v>
      </c>
      <c r="M103" s="599" t="str">
        <f>AssignThird!$F$4</f>
        <v>3-BEFIJ</v>
      </c>
      <c r="N103" s="600" t="str">
        <f t="shared" si="3"/>
        <v>Ivoorkust</v>
      </c>
    </row>
    <row r="104" spans="2:25">
      <c r="B104" s="195">
        <v>98</v>
      </c>
      <c r="C104" s="193" t="s">
        <v>1069</v>
      </c>
      <c r="D104" s="194" t="s">
        <v>1073</v>
      </c>
      <c r="E104" s="175">
        <v>46213.625</v>
      </c>
      <c r="F104" s="70">
        <f>$E104-VLOOKUP($G104,TimeZone!$L$4:$O$19,4,0)+VLOOKUP(TimeZone!$H$1,TimeZone!$C$4:$E$39,3,0)</f>
        <v>46213.875</v>
      </c>
      <c r="G104" s="188">
        <v>8</v>
      </c>
      <c r="H104" s="185" t="str">
        <f>VLOOKUP($G104,Language!$D$103:$E$118,2,0)</f>
        <v>Los Angeles</v>
      </c>
      <c r="I104" s="51"/>
      <c r="J104" s="52"/>
      <c r="K104" s="201">
        <v>2</v>
      </c>
      <c r="M104" s="599" t="str">
        <f>AssignThird!$G$4</f>
        <v>3-ABCDF</v>
      </c>
      <c r="N104" s="600" t="str">
        <f t="shared" si="3"/>
        <v>Australië</v>
      </c>
    </row>
    <row r="105" spans="2:25">
      <c r="B105" s="195">
        <v>99</v>
      </c>
      <c r="C105" s="193" t="s">
        <v>1068</v>
      </c>
      <c r="D105" s="194" t="s">
        <v>1072</v>
      </c>
      <c r="E105" s="175">
        <v>46214.708333333336</v>
      </c>
      <c r="F105" s="70">
        <f>$E105-VLOOKUP($G105,TimeZone!$L$4:$O$19,4,0)+VLOOKUP(TimeZone!$H$1,TimeZone!$C$4:$E$39,3,0)</f>
        <v>46214.958333333336</v>
      </c>
      <c r="G105" s="188">
        <v>13</v>
      </c>
      <c r="H105" s="185" t="str">
        <f>VLOOKUP($G105,Language!$D$103:$E$118,2,0)</f>
        <v>Miami</v>
      </c>
      <c r="I105" s="52"/>
      <c r="J105" s="52"/>
      <c r="K105" s="201">
        <v>3</v>
      </c>
      <c r="M105" s="599" t="str">
        <f>AssignThird!$H$4</f>
        <v>3-AEHIJ</v>
      </c>
      <c r="N105" s="600" t="str">
        <f t="shared" si="3"/>
        <v>Tsjechië</v>
      </c>
    </row>
    <row r="106" spans="2:25">
      <c r="B106" s="195">
        <v>100</v>
      </c>
      <c r="C106" s="193" t="s">
        <v>1070</v>
      </c>
      <c r="D106" s="194" t="s">
        <v>1074</v>
      </c>
      <c r="E106" s="175">
        <v>46214.875</v>
      </c>
      <c r="F106" s="70">
        <f>$E106-VLOOKUP($G106,TimeZone!$L$4:$O$19,4,0)+VLOOKUP(TimeZone!$H$1,TimeZone!$C$4:$E$39,3,0)</f>
        <v>46215.125</v>
      </c>
      <c r="G106" s="188">
        <v>4</v>
      </c>
      <c r="H106" s="185" t="str">
        <f>VLOOKUP($G106,Language!$D$103:$E$118,2,0)</f>
        <v>Kansas City</v>
      </c>
      <c r="I106" s="52"/>
      <c r="J106" s="52"/>
      <c r="K106" s="201">
        <v>4</v>
      </c>
      <c r="M106" s="599" t="str">
        <f>AssignThird!$I$4</f>
        <v>3-CDFGH</v>
      </c>
      <c r="N106" s="600" t="str">
        <f t="shared" si="3"/>
        <v>Zweden</v>
      </c>
      <c r="Q106" s="92"/>
      <c r="R106" s="92"/>
      <c r="S106" s="92"/>
      <c r="T106" s="92"/>
      <c r="U106" s="92"/>
      <c r="V106" s="92"/>
      <c r="W106" s="92"/>
      <c r="X106" s="92"/>
      <c r="Y106" s="92"/>
    </row>
    <row r="107" spans="2:25">
      <c r="B107" s="71" t="s">
        <v>134</v>
      </c>
      <c r="C107" s="88"/>
      <c r="D107" s="88"/>
      <c r="E107" s="53"/>
      <c r="F107" s="54"/>
      <c r="G107" s="184"/>
      <c r="H107" s="54"/>
      <c r="I107" s="54"/>
      <c r="J107" s="54"/>
      <c r="K107" s="101"/>
      <c r="M107" s="599" t="str">
        <f>AssignThird!$J$4</f>
        <v>3-DEIJL</v>
      </c>
      <c r="N107" s="600" t="str">
        <f t="shared" si="3"/>
        <v>Panama</v>
      </c>
      <c r="Q107" s="92"/>
      <c r="R107" s="92"/>
      <c r="S107" s="92"/>
      <c r="T107" s="92"/>
      <c r="U107" s="92"/>
      <c r="V107" s="92"/>
      <c r="W107" s="92"/>
      <c r="X107" s="92"/>
      <c r="Y107" s="92"/>
    </row>
    <row r="108" spans="2:25" ht="15.75" thickBot="1">
      <c r="B108" s="195">
        <v>101</v>
      </c>
      <c r="C108" s="193" t="s">
        <v>1075</v>
      </c>
      <c r="D108" s="194" t="s">
        <v>1076</v>
      </c>
      <c r="E108" s="175">
        <v>46217.625</v>
      </c>
      <c r="F108" s="70">
        <f>$E108-VLOOKUP($G108,TimeZone!$L$4:$O$19,4,0)+VLOOKUP(TimeZone!$H$1,TimeZone!$C$4:$E$39,3,0)</f>
        <v>46217.875</v>
      </c>
      <c r="G108" s="188">
        <v>5</v>
      </c>
      <c r="H108" s="185" t="str">
        <f>VLOOKUP($G108,Language!$D$103:$E$118,2,0)</f>
        <v>Dallas</v>
      </c>
      <c r="I108" s="52"/>
      <c r="J108" s="52"/>
      <c r="K108" s="176" t="str">
        <f>Language!$E$170</f>
        <v>Halve finale 1</v>
      </c>
      <c r="M108" s="601" t="str">
        <f>AssignThird!$K$4</f>
        <v>3-EHIJK</v>
      </c>
      <c r="N108" s="602" t="str">
        <f t="shared" si="3"/>
        <v>Noorwegen</v>
      </c>
      <c r="P108" s="92"/>
      <c r="Q108" s="92"/>
      <c r="R108" s="92"/>
      <c r="S108" s="92"/>
      <c r="T108" s="92"/>
      <c r="U108" s="92"/>
      <c r="V108" s="92"/>
      <c r="W108" s="92"/>
      <c r="X108" s="92"/>
      <c r="Y108" s="92"/>
    </row>
    <row r="109" spans="2:25">
      <c r="B109" s="195">
        <v>102</v>
      </c>
      <c r="C109" s="193" t="s">
        <v>1077</v>
      </c>
      <c r="D109" s="194" t="s">
        <v>1078</v>
      </c>
      <c r="E109" s="175">
        <v>46218.625</v>
      </c>
      <c r="F109" s="70">
        <f>$E109-VLOOKUP($G109,TimeZone!$L$4:$O$19,4,0)+VLOOKUP(TimeZone!$H$1,TimeZone!$C$4:$E$39,3,0)</f>
        <v>46218.875</v>
      </c>
      <c r="G109" s="188">
        <v>7</v>
      </c>
      <c r="H109" s="185" t="str">
        <f>VLOOKUP($G109,Language!$D$103:$E$118,2,0)</f>
        <v>Atlanta</v>
      </c>
      <c r="I109" s="52"/>
      <c r="J109" s="52"/>
      <c r="K109" s="176" t="str">
        <f>Language!$E$171</f>
        <v>Halve finale 2</v>
      </c>
      <c r="P109" s="92"/>
      <c r="Q109" s="92"/>
      <c r="R109" s="92"/>
      <c r="S109" s="92"/>
      <c r="T109" s="92"/>
      <c r="U109" s="92"/>
      <c r="V109" s="92"/>
      <c r="W109" s="92"/>
      <c r="X109" s="92"/>
      <c r="Y109" s="93"/>
    </row>
    <row r="110" spans="2: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c r="B111" s="195">
        <v>103</v>
      </c>
      <c r="C111" s="193" t="s">
        <v>1079</v>
      </c>
      <c r="D111" s="194" t="s">
        <v>1080</v>
      </c>
      <c r="E111" s="175">
        <v>46221.708333333336</v>
      </c>
      <c r="F111" s="70">
        <f>$E111-VLOOKUP($G111,TimeZone!$L$4:$O$19,4,0)+VLOOKUP(TimeZone!$H$1,TimeZone!$C$4:$E$39,3,0)</f>
        <v>46221.958333333336</v>
      </c>
      <c r="G111" s="188">
        <v>13</v>
      </c>
      <c r="H111" s="185" t="str">
        <f>VLOOKUP($G111,Language!$D$103:$E$118,2,0)</f>
        <v>Miami</v>
      </c>
      <c r="I111" s="52"/>
      <c r="J111" s="52"/>
      <c r="K111" s="108" t="str">
        <f>Language!$E$172</f>
        <v>Derde plaats</v>
      </c>
      <c r="M111" s="126"/>
      <c r="N111" s="126"/>
    </row>
    <row r="112" spans="2:25">
      <c r="B112" s="71" t="s">
        <v>55</v>
      </c>
      <c r="C112" s="88"/>
      <c r="D112" s="88"/>
      <c r="E112" s="53"/>
      <c r="F112" s="54"/>
      <c r="G112" s="184"/>
      <c r="H112" s="54"/>
      <c r="I112" s="54"/>
      <c r="J112" s="54"/>
      <c r="K112" s="101"/>
      <c r="M112" s="126"/>
      <c r="N112" s="126"/>
    </row>
    <row r="113" spans="2:14" ht="15.75" thickBot="1">
      <c r="B113" s="196">
        <v>104</v>
      </c>
      <c r="C113" s="652" t="s">
        <v>1081</v>
      </c>
      <c r="D113" s="653" t="s">
        <v>1082</v>
      </c>
      <c r="E113" s="654">
        <v>46222.625</v>
      </c>
      <c r="F113" s="655">
        <f>$E113-VLOOKUP($G113,TimeZone!$L$4:$O$19,4,0)+VLOOKUP(TimeZone!$H$1,TimeZone!$C$4:$E$39,3,0)</f>
        <v>46222.875</v>
      </c>
      <c r="G113" s="656">
        <v>3</v>
      </c>
      <c r="H113" s="657" t="str">
        <f>VLOOKUP($G113,Language!$D$103:$E$118,2,0)</f>
        <v>New York/New Jersey</v>
      </c>
      <c r="I113" s="658"/>
      <c r="J113" s="659"/>
      <c r="K113" s="660" t="str">
        <f>Language!$E$173</f>
        <v>Finale</v>
      </c>
      <c r="M113" s="126"/>
      <c r="N113" s="126"/>
    </row>
    <row r="114" spans="2:14" ht="15.75" thickTop="1"/>
    <row r="115" spans="2:14"/>
    <row r="116" spans="2:14"/>
    <row r="117" spans="2:14"/>
  </sheetData>
  <sheetProtection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workbookViewId="0">
      <selection activeCell="N1" sqref="N1:XFD1048576"/>
    </sheetView>
  </sheetViews>
  <sheetFormatPr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52"/>
      <c r="C2" s="1424" t="str">
        <f>Language!$E$128</f>
        <v>Toewijzing van beste derde plaatsen naar de ronde van 32</v>
      </c>
      <c r="D2" s="1424"/>
      <c r="E2" s="1424"/>
      <c r="F2" s="1424"/>
      <c r="G2" s="1424"/>
      <c r="H2" s="1424"/>
      <c r="I2" s="1424"/>
      <c r="J2" s="1424"/>
      <c r="K2" s="1424"/>
    </row>
    <row r="3" spans="1:11" ht="23.25" customHeight="1">
      <c r="C3" s="1428" t="s">
        <v>1724</v>
      </c>
      <c r="D3" s="1428"/>
      <c r="E3" s="1428"/>
      <c r="F3" s="1428"/>
      <c r="G3" s="1428"/>
      <c r="H3" s="1428"/>
      <c r="I3" s="1428"/>
      <c r="J3" s="1428"/>
      <c r="K3" s="1428"/>
    </row>
    <row r="4" spans="1:11" ht="16.5" thickBot="1">
      <c r="C4" s="437"/>
      <c r="D4" s="453" t="s">
        <v>1707</v>
      </c>
      <c r="E4" s="453" t="s">
        <v>1710</v>
      </c>
      <c r="F4" s="453" t="s">
        <v>1708</v>
      </c>
      <c r="G4" s="453" t="s">
        <v>1703</v>
      </c>
      <c r="H4" s="453" t="s">
        <v>1709</v>
      </c>
      <c r="I4" s="453" t="s">
        <v>1704</v>
      </c>
      <c r="J4" s="453" t="s">
        <v>1706</v>
      </c>
      <c r="K4" s="453" t="s">
        <v>1705</v>
      </c>
    </row>
    <row r="5" spans="1:11" ht="32.25" thickTop="1">
      <c r="C5" s="1425" t="str">
        <f>Language!$E$177</f>
        <v>Groeps-combinatie:</v>
      </c>
      <c r="D5" s="438" t="str">
        <f>Language!$E$178</f>
        <v>Eerste in groep</v>
      </c>
      <c r="E5" s="439" t="str">
        <f>Language!$E$178</f>
        <v>Eerste in groep</v>
      </c>
      <c r="F5" s="439" t="str">
        <f>Language!$E$178</f>
        <v>Eerste in groep</v>
      </c>
      <c r="G5" s="439" t="str">
        <f>Language!$E$178</f>
        <v>Eerste in groep</v>
      </c>
      <c r="H5" s="439" t="str">
        <f>Language!$E$178</f>
        <v>Eerste in groep</v>
      </c>
      <c r="I5" s="439" t="str">
        <f>Language!$E$178</f>
        <v>Eerste in groep</v>
      </c>
      <c r="J5" s="439" t="str">
        <f>Language!$E$178</f>
        <v>Eerste in groep</v>
      </c>
      <c r="K5" s="440" t="str">
        <f>Language!$E$178</f>
        <v>Eerste in groep</v>
      </c>
    </row>
    <row r="6" spans="1:11" ht="15.75">
      <c r="C6" s="1426"/>
      <c r="D6" s="441" t="s">
        <v>24</v>
      </c>
      <c r="E6" s="442" t="s">
        <v>20</v>
      </c>
      <c r="F6" s="442" t="s">
        <v>25</v>
      </c>
      <c r="G6" s="442" t="s">
        <v>22</v>
      </c>
      <c r="H6" s="442" t="s">
        <v>272</v>
      </c>
      <c r="I6" s="442" t="s">
        <v>32</v>
      </c>
      <c r="J6" s="442" t="s">
        <v>33</v>
      </c>
      <c r="K6" s="443" t="s">
        <v>34</v>
      </c>
    </row>
    <row r="7" spans="1:11" ht="48" thickBot="1">
      <c r="C7" s="1427"/>
      <c r="D7" s="444" t="str">
        <f>Language!$E$179</f>
        <v>tegen derde in groep</v>
      </c>
      <c r="E7" s="445" t="str">
        <f>Language!$E$179</f>
        <v>tegen derde in groep</v>
      </c>
      <c r="F7" s="445" t="str">
        <f>Language!$E$179</f>
        <v>tegen derde in groep</v>
      </c>
      <c r="G7" s="445" t="str">
        <f>Language!$E$179</f>
        <v>tegen derde in groep</v>
      </c>
      <c r="H7" s="445" t="str">
        <f>Language!$E$179</f>
        <v>tegen derde in groep</v>
      </c>
      <c r="I7" s="445" t="str">
        <f>Language!$E$179</f>
        <v>tegen derde in groep</v>
      </c>
      <c r="J7" s="445" t="str">
        <f>Language!$E$179</f>
        <v>tegen derde in groep</v>
      </c>
      <c r="K7" s="446" t="str">
        <f>Language!$E$179</f>
        <v>tegen derde in groep</v>
      </c>
    </row>
    <row r="8" spans="1:11" ht="15.75">
      <c r="C8" s="454" t="s">
        <v>1621</v>
      </c>
      <c r="D8" s="456" t="s">
        <v>22</v>
      </c>
      <c r="E8" s="457" t="s">
        <v>841</v>
      </c>
      <c r="F8" s="457" t="s">
        <v>32</v>
      </c>
      <c r="G8" s="457" t="s">
        <v>23</v>
      </c>
      <c r="H8" s="458" t="s">
        <v>31</v>
      </c>
      <c r="I8" s="458" t="s">
        <v>272</v>
      </c>
      <c r="J8" s="458" t="s">
        <v>34</v>
      </c>
      <c r="K8" s="459" t="s">
        <v>33</v>
      </c>
    </row>
    <row r="9" spans="1:11" ht="15.75">
      <c r="C9" s="454" t="s">
        <v>1620</v>
      </c>
      <c r="D9" s="456" t="s">
        <v>31</v>
      </c>
      <c r="E9" s="457" t="s">
        <v>272</v>
      </c>
      <c r="F9" s="457" t="s">
        <v>32</v>
      </c>
      <c r="G9" s="457" t="s">
        <v>25</v>
      </c>
      <c r="H9" s="460" t="s">
        <v>841</v>
      </c>
      <c r="I9" s="460" t="s">
        <v>23</v>
      </c>
      <c r="J9" s="460" t="s">
        <v>34</v>
      </c>
      <c r="K9" s="461" t="s">
        <v>33</v>
      </c>
    </row>
    <row r="10" spans="1:11" ht="15.75">
      <c r="C10" s="454" t="s">
        <v>1619</v>
      </c>
      <c r="D10" s="456" t="s">
        <v>22</v>
      </c>
      <c r="E10" s="457" t="s">
        <v>841</v>
      </c>
      <c r="F10" s="457" t="s">
        <v>32</v>
      </c>
      <c r="G10" s="457" t="s">
        <v>25</v>
      </c>
      <c r="H10" s="460" t="s">
        <v>31</v>
      </c>
      <c r="I10" s="460" t="s">
        <v>272</v>
      </c>
      <c r="J10" s="460" t="s">
        <v>34</v>
      </c>
      <c r="K10" s="461" t="s">
        <v>33</v>
      </c>
    </row>
    <row r="11" spans="1:11" ht="15.75">
      <c r="C11" s="454" t="s">
        <v>1618</v>
      </c>
      <c r="D11" s="456" t="s">
        <v>22</v>
      </c>
      <c r="E11" s="457" t="s">
        <v>841</v>
      </c>
      <c r="F11" s="457" t="s">
        <v>32</v>
      </c>
      <c r="G11" s="457" t="s">
        <v>25</v>
      </c>
      <c r="H11" s="460" t="s">
        <v>31</v>
      </c>
      <c r="I11" s="460" t="s">
        <v>23</v>
      </c>
      <c r="J11" s="460" t="s">
        <v>34</v>
      </c>
      <c r="K11" s="461" t="s">
        <v>33</v>
      </c>
    </row>
    <row r="12" spans="1:11" ht="15.75">
      <c r="C12" s="454" t="s">
        <v>1617</v>
      </c>
      <c r="D12" s="456" t="s">
        <v>22</v>
      </c>
      <c r="E12" s="457" t="s">
        <v>272</v>
      </c>
      <c r="F12" s="457" t="s">
        <v>32</v>
      </c>
      <c r="G12" s="457" t="s">
        <v>25</v>
      </c>
      <c r="H12" s="460" t="s">
        <v>841</v>
      </c>
      <c r="I12" s="460" t="s">
        <v>23</v>
      </c>
      <c r="J12" s="460" t="s">
        <v>34</v>
      </c>
      <c r="K12" s="461" t="s">
        <v>33</v>
      </c>
    </row>
    <row r="13" spans="1:11" ht="15.75">
      <c r="C13" s="454" t="s">
        <v>1616</v>
      </c>
      <c r="D13" s="456" t="s">
        <v>22</v>
      </c>
      <c r="E13" s="457" t="s">
        <v>272</v>
      </c>
      <c r="F13" s="457" t="s">
        <v>841</v>
      </c>
      <c r="G13" s="457" t="s">
        <v>25</v>
      </c>
      <c r="H13" s="460" t="s">
        <v>31</v>
      </c>
      <c r="I13" s="460" t="s">
        <v>23</v>
      </c>
      <c r="J13" s="460" t="s">
        <v>34</v>
      </c>
      <c r="K13" s="461" t="s">
        <v>33</v>
      </c>
    </row>
    <row r="14" spans="1:11" ht="15.75">
      <c r="C14" s="454" t="s">
        <v>1615</v>
      </c>
      <c r="D14" s="456" t="s">
        <v>22</v>
      </c>
      <c r="E14" s="457" t="s">
        <v>272</v>
      </c>
      <c r="F14" s="457" t="s">
        <v>32</v>
      </c>
      <c r="G14" s="457" t="s">
        <v>25</v>
      </c>
      <c r="H14" s="460" t="s">
        <v>31</v>
      </c>
      <c r="I14" s="460" t="s">
        <v>23</v>
      </c>
      <c r="J14" s="460" t="s">
        <v>34</v>
      </c>
      <c r="K14" s="461" t="s">
        <v>33</v>
      </c>
    </row>
    <row r="15" spans="1:11" ht="15.75">
      <c r="C15" s="454" t="s">
        <v>1614</v>
      </c>
      <c r="D15" s="456" t="s">
        <v>22</v>
      </c>
      <c r="E15" s="457" t="s">
        <v>272</v>
      </c>
      <c r="F15" s="457" t="s">
        <v>841</v>
      </c>
      <c r="G15" s="457" t="s">
        <v>25</v>
      </c>
      <c r="H15" s="460" t="s">
        <v>31</v>
      </c>
      <c r="I15" s="460" t="s">
        <v>23</v>
      </c>
      <c r="J15" s="460" t="s">
        <v>34</v>
      </c>
      <c r="K15" s="461" t="s">
        <v>32</v>
      </c>
    </row>
    <row r="16" spans="1:11" ht="15.75">
      <c r="C16" s="454" t="s">
        <v>1613</v>
      </c>
      <c r="D16" s="456" t="s">
        <v>22</v>
      </c>
      <c r="E16" s="457" t="s">
        <v>272</v>
      </c>
      <c r="F16" s="457" t="s">
        <v>841</v>
      </c>
      <c r="G16" s="457" t="s">
        <v>25</v>
      </c>
      <c r="H16" s="460" t="s">
        <v>31</v>
      </c>
      <c r="I16" s="460" t="s">
        <v>23</v>
      </c>
      <c r="J16" s="460" t="s">
        <v>32</v>
      </c>
      <c r="K16" s="461" t="s">
        <v>33</v>
      </c>
    </row>
    <row r="17" spans="3:11" ht="15.75">
      <c r="C17" s="454" t="s">
        <v>1612</v>
      </c>
      <c r="D17" s="456" t="s">
        <v>31</v>
      </c>
      <c r="E17" s="457" t="s">
        <v>272</v>
      </c>
      <c r="F17" s="457" t="s">
        <v>32</v>
      </c>
      <c r="G17" s="457" t="s">
        <v>21</v>
      </c>
      <c r="H17" s="460" t="s">
        <v>841</v>
      </c>
      <c r="I17" s="460" t="s">
        <v>23</v>
      </c>
      <c r="J17" s="460" t="s">
        <v>34</v>
      </c>
      <c r="K17" s="461" t="s">
        <v>33</v>
      </c>
    </row>
    <row r="18" spans="3:11" ht="15.75">
      <c r="C18" s="454" t="s">
        <v>1611</v>
      </c>
      <c r="D18" s="456" t="s">
        <v>22</v>
      </c>
      <c r="E18" s="457" t="s">
        <v>841</v>
      </c>
      <c r="F18" s="457" t="s">
        <v>32</v>
      </c>
      <c r="G18" s="457" t="s">
        <v>21</v>
      </c>
      <c r="H18" s="460" t="s">
        <v>31</v>
      </c>
      <c r="I18" s="460" t="s">
        <v>272</v>
      </c>
      <c r="J18" s="460" t="s">
        <v>34</v>
      </c>
      <c r="K18" s="461" t="s">
        <v>33</v>
      </c>
    </row>
    <row r="19" spans="3:11" ht="15.75">
      <c r="C19" s="454" t="s">
        <v>1610</v>
      </c>
      <c r="D19" s="456" t="s">
        <v>22</v>
      </c>
      <c r="E19" s="457" t="s">
        <v>841</v>
      </c>
      <c r="F19" s="457" t="s">
        <v>32</v>
      </c>
      <c r="G19" s="457" t="s">
        <v>21</v>
      </c>
      <c r="H19" s="460" t="s">
        <v>31</v>
      </c>
      <c r="I19" s="460" t="s">
        <v>23</v>
      </c>
      <c r="J19" s="460" t="s">
        <v>34</v>
      </c>
      <c r="K19" s="461" t="s">
        <v>33</v>
      </c>
    </row>
    <row r="20" spans="3:11" ht="15.75">
      <c r="C20" s="454" t="s">
        <v>1609</v>
      </c>
      <c r="D20" s="456" t="s">
        <v>22</v>
      </c>
      <c r="E20" s="457" t="s">
        <v>272</v>
      </c>
      <c r="F20" s="457" t="s">
        <v>32</v>
      </c>
      <c r="G20" s="457" t="s">
        <v>21</v>
      </c>
      <c r="H20" s="460" t="s">
        <v>841</v>
      </c>
      <c r="I20" s="460" t="s">
        <v>23</v>
      </c>
      <c r="J20" s="460" t="s">
        <v>34</v>
      </c>
      <c r="K20" s="461" t="s">
        <v>33</v>
      </c>
    </row>
    <row r="21" spans="3:11" ht="15.75">
      <c r="C21" s="454" t="s">
        <v>1608</v>
      </c>
      <c r="D21" s="456" t="s">
        <v>22</v>
      </c>
      <c r="E21" s="457" t="s">
        <v>272</v>
      </c>
      <c r="F21" s="457" t="s">
        <v>841</v>
      </c>
      <c r="G21" s="457" t="s">
        <v>21</v>
      </c>
      <c r="H21" s="460" t="s">
        <v>31</v>
      </c>
      <c r="I21" s="460" t="s">
        <v>23</v>
      </c>
      <c r="J21" s="460" t="s">
        <v>34</v>
      </c>
      <c r="K21" s="461" t="s">
        <v>33</v>
      </c>
    </row>
    <row r="22" spans="3:11" ht="15.75">
      <c r="C22" s="454" t="s">
        <v>1607</v>
      </c>
      <c r="D22" s="456" t="s">
        <v>22</v>
      </c>
      <c r="E22" s="457" t="s">
        <v>272</v>
      </c>
      <c r="F22" s="457" t="s">
        <v>32</v>
      </c>
      <c r="G22" s="457" t="s">
        <v>21</v>
      </c>
      <c r="H22" s="460" t="s">
        <v>31</v>
      </c>
      <c r="I22" s="460" t="s">
        <v>23</v>
      </c>
      <c r="J22" s="460" t="s">
        <v>34</v>
      </c>
      <c r="K22" s="461" t="s">
        <v>33</v>
      </c>
    </row>
    <row r="23" spans="3:11" ht="15.75">
      <c r="C23" s="454" t="s">
        <v>1606</v>
      </c>
      <c r="D23" s="456" t="s">
        <v>22</v>
      </c>
      <c r="E23" s="457" t="s">
        <v>272</v>
      </c>
      <c r="F23" s="457" t="s">
        <v>841</v>
      </c>
      <c r="G23" s="457" t="s">
        <v>21</v>
      </c>
      <c r="H23" s="460" t="s">
        <v>31</v>
      </c>
      <c r="I23" s="460" t="s">
        <v>23</v>
      </c>
      <c r="J23" s="460" t="s">
        <v>34</v>
      </c>
      <c r="K23" s="461" t="s">
        <v>32</v>
      </c>
    </row>
    <row r="24" spans="3:11" ht="15.75">
      <c r="C24" s="454" t="s">
        <v>1605</v>
      </c>
      <c r="D24" s="456" t="s">
        <v>22</v>
      </c>
      <c r="E24" s="457" t="s">
        <v>272</v>
      </c>
      <c r="F24" s="457" t="s">
        <v>841</v>
      </c>
      <c r="G24" s="457" t="s">
        <v>21</v>
      </c>
      <c r="H24" s="460" t="s">
        <v>31</v>
      </c>
      <c r="I24" s="460" t="s">
        <v>23</v>
      </c>
      <c r="J24" s="460" t="s">
        <v>32</v>
      </c>
      <c r="K24" s="461" t="s">
        <v>33</v>
      </c>
    </row>
    <row r="25" spans="3:11" ht="15.75">
      <c r="C25" s="454" t="s">
        <v>1604</v>
      </c>
      <c r="D25" s="456" t="s">
        <v>31</v>
      </c>
      <c r="E25" s="457" t="s">
        <v>272</v>
      </c>
      <c r="F25" s="457" t="s">
        <v>32</v>
      </c>
      <c r="G25" s="457" t="s">
        <v>21</v>
      </c>
      <c r="H25" s="460" t="s">
        <v>841</v>
      </c>
      <c r="I25" s="460" t="s">
        <v>25</v>
      </c>
      <c r="J25" s="460" t="s">
        <v>34</v>
      </c>
      <c r="K25" s="461" t="s">
        <v>33</v>
      </c>
    </row>
    <row r="26" spans="3:11" ht="15.75">
      <c r="C26" s="454" t="s">
        <v>1603</v>
      </c>
      <c r="D26" s="456" t="s">
        <v>21</v>
      </c>
      <c r="E26" s="457" t="s">
        <v>841</v>
      </c>
      <c r="F26" s="457" t="s">
        <v>32</v>
      </c>
      <c r="G26" s="457" t="s">
        <v>25</v>
      </c>
      <c r="H26" s="460" t="s">
        <v>31</v>
      </c>
      <c r="I26" s="460" t="s">
        <v>23</v>
      </c>
      <c r="J26" s="460" t="s">
        <v>34</v>
      </c>
      <c r="K26" s="461" t="s">
        <v>33</v>
      </c>
    </row>
    <row r="27" spans="3:11" ht="15.75">
      <c r="C27" s="454" t="s">
        <v>1602</v>
      </c>
      <c r="D27" s="456" t="s">
        <v>21</v>
      </c>
      <c r="E27" s="457" t="s">
        <v>272</v>
      </c>
      <c r="F27" s="457" t="s">
        <v>32</v>
      </c>
      <c r="G27" s="457" t="s">
        <v>25</v>
      </c>
      <c r="H27" s="460" t="s">
        <v>841</v>
      </c>
      <c r="I27" s="460" t="s">
        <v>23</v>
      </c>
      <c r="J27" s="460" t="s">
        <v>34</v>
      </c>
      <c r="K27" s="461" t="s">
        <v>33</v>
      </c>
    </row>
    <row r="28" spans="3:11" ht="15.75">
      <c r="C28" s="454" t="s">
        <v>1601</v>
      </c>
      <c r="D28" s="456" t="s">
        <v>21</v>
      </c>
      <c r="E28" s="457" t="s">
        <v>272</v>
      </c>
      <c r="F28" s="457" t="s">
        <v>841</v>
      </c>
      <c r="G28" s="457" t="s">
        <v>25</v>
      </c>
      <c r="H28" s="460" t="s">
        <v>31</v>
      </c>
      <c r="I28" s="460" t="s">
        <v>23</v>
      </c>
      <c r="J28" s="460" t="s">
        <v>34</v>
      </c>
      <c r="K28" s="461" t="s">
        <v>33</v>
      </c>
    </row>
    <row r="29" spans="3:11" ht="15.75">
      <c r="C29" s="454" t="s">
        <v>1600</v>
      </c>
      <c r="D29" s="456" t="s">
        <v>21</v>
      </c>
      <c r="E29" s="457" t="s">
        <v>272</v>
      </c>
      <c r="F29" s="457" t="s">
        <v>32</v>
      </c>
      <c r="G29" s="457" t="s">
        <v>25</v>
      </c>
      <c r="H29" s="460" t="s">
        <v>31</v>
      </c>
      <c r="I29" s="460" t="s">
        <v>23</v>
      </c>
      <c r="J29" s="460" t="s">
        <v>34</v>
      </c>
      <c r="K29" s="461" t="s">
        <v>33</v>
      </c>
    </row>
    <row r="30" spans="3:11" ht="15.75">
      <c r="C30" s="454" t="s">
        <v>1599</v>
      </c>
      <c r="D30" s="456" t="s">
        <v>21</v>
      </c>
      <c r="E30" s="457" t="s">
        <v>272</v>
      </c>
      <c r="F30" s="457" t="s">
        <v>841</v>
      </c>
      <c r="G30" s="457" t="s">
        <v>25</v>
      </c>
      <c r="H30" s="460" t="s">
        <v>31</v>
      </c>
      <c r="I30" s="460" t="s">
        <v>23</v>
      </c>
      <c r="J30" s="460" t="s">
        <v>34</v>
      </c>
      <c r="K30" s="461" t="s">
        <v>32</v>
      </c>
    </row>
    <row r="31" spans="3:11" ht="15.75">
      <c r="C31" s="454" t="s">
        <v>1598</v>
      </c>
      <c r="D31" s="456" t="s">
        <v>21</v>
      </c>
      <c r="E31" s="457" t="s">
        <v>272</v>
      </c>
      <c r="F31" s="457" t="s">
        <v>841</v>
      </c>
      <c r="G31" s="457" t="s">
        <v>25</v>
      </c>
      <c r="H31" s="460" t="s">
        <v>31</v>
      </c>
      <c r="I31" s="460" t="s">
        <v>23</v>
      </c>
      <c r="J31" s="460" t="s">
        <v>32</v>
      </c>
      <c r="K31" s="461" t="s">
        <v>33</v>
      </c>
    </row>
    <row r="32" spans="3:11" ht="15.75">
      <c r="C32" s="454" t="s">
        <v>1597</v>
      </c>
      <c r="D32" s="456" t="s">
        <v>22</v>
      </c>
      <c r="E32" s="457" t="s">
        <v>841</v>
      </c>
      <c r="F32" s="457" t="s">
        <v>32</v>
      </c>
      <c r="G32" s="457" t="s">
        <v>21</v>
      </c>
      <c r="H32" s="460" t="s">
        <v>31</v>
      </c>
      <c r="I32" s="460" t="s">
        <v>25</v>
      </c>
      <c r="J32" s="460" t="s">
        <v>34</v>
      </c>
      <c r="K32" s="461" t="s">
        <v>33</v>
      </c>
    </row>
    <row r="33" spans="3:11" ht="15.75">
      <c r="C33" s="454" t="s">
        <v>1596</v>
      </c>
      <c r="D33" s="456" t="s">
        <v>22</v>
      </c>
      <c r="E33" s="457" t="s">
        <v>272</v>
      </c>
      <c r="F33" s="457" t="s">
        <v>32</v>
      </c>
      <c r="G33" s="457" t="s">
        <v>21</v>
      </c>
      <c r="H33" s="460" t="s">
        <v>841</v>
      </c>
      <c r="I33" s="460" t="s">
        <v>25</v>
      </c>
      <c r="J33" s="460" t="s">
        <v>34</v>
      </c>
      <c r="K33" s="461" t="s">
        <v>33</v>
      </c>
    </row>
    <row r="34" spans="3:11" ht="15.75">
      <c r="C34" s="454" t="s">
        <v>1595</v>
      </c>
      <c r="D34" s="456" t="s">
        <v>22</v>
      </c>
      <c r="E34" s="457" t="s">
        <v>272</v>
      </c>
      <c r="F34" s="457" t="s">
        <v>841</v>
      </c>
      <c r="G34" s="457" t="s">
        <v>21</v>
      </c>
      <c r="H34" s="460" t="s">
        <v>31</v>
      </c>
      <c r="I34" s="460" t="s">
        <v>25</v>
      </c>
      <c r="J34" s="460" t="s">
        <v>34</v>
      </c>
      <c r="K34" s="461" t="s">
        <v>33</v>
      </c>
    </row>
    <row r="35" spans="3:11" ht="15.75">
      <c r="C35" s="454" t="s">
        <v>1594</v>
      </c>
      <c r="D35" s="456" t="s">
        <v>22</v>
      </c>
      <c r="E35" s="457" t="s">
        <v>272</v>
      </c>
      <c r="F35" s="457" t="s">
        <v>32</v>
      </c>
      <c r="G35" s="457" t="s">
        <v>21</v>
      </c>
      <c r="H35" s="460" t="s">
        <v>31</v>
      </c>
      <c r="I35" s="460" t="s">
        <v>25</v>
      </c>
      <c r="J35" s="460" t="s">
        <v>34</v>
      </c>
      <c r="K35" s="461" t="s">
        <v>33</v>
      </c>
    </row>
    <row r="36" spans="3:11" ht="15.75">
      <c r="C36" s="454" t="s">
        <v>1593</v>
      </c>
      <c r="D36" s="456" t="s">
        <v>22</v>
      </c>
      <c r="E36" s="457" t="s">
        <v>272</v>
      </c>
      <c r="F36" s="457" t="s">
        <v>841</v>
      </c>
      <c r="G36" s="457" t="s">
        <v>21</v>
      </c>
      <c r="H36" s="460" t="s">
        <v>31</v>
      </c>
      <c r="I36" s="460" t="s">
        <v>25</v>
      </c>
      <c r="J36" s="460" t="s">
        <v>34</v>
      </c>
      <c r="K36" s="461" t="s">
        <v>32</v>
      </c>
    </row>
    <row r="37" spans="3:11" ht="15.75">
      <c r="C37" s="454" t="s">
        <v>1592</v>
      </c>
      <c r="D37" s="456" t="s">
        <v>22</v>
      </c>
      <c r="E37" s="457" t="s">
        <v>272</v>
      </c>
      <c r="F37" s="457" t="s">
        <v>841</v>
      </c>
      <c r="G37" s="457" t="s">
        <v>21</v>
      </c>
      <c r="H37" s="460" t="s">
        <v>31</v>
      </c>
      <c r="I37" s="460" t="s">
        <v>25</v>
      </c>
      <c r="J37" s="460" t="s">
        <v>32</v>
      </c>
      <c r="K37" s="461" t="s">
        <v>33</v>
      </c>
    </row>
    <row r="38" spans="3:11" ht="15.75">
      <c r="C38" s="454" t="s">
        <v>1591</v>
      </c>
      <c r="D38" s="456" t="s">
        <v>21</v>
      </c>
      <c r="E38" s="457" t="s">
        <v>841</v>
      </c>
      <c r="F38" s="457" t="s">
        <v>22</v>
      </c>
      <c r="G38" s="457" t="s">
        <v>25</v>
      </c>
      <c r="H38" s="460" t="s">
        <v>32</v>
      </c>
      <c r="I38" s="460" t="s">
        <v>23</v>
      </c>
      <c r="J38" s="460" t="s">
        <v>34</v>
      </c>
      <c r="K38" s="461" t="s">
        <v>33</v>
      </c>
    </row>
    <row r="39" spans="3:11" ht="15.75">
      <c r="C39" s="454" t="s">
        <v>1590</v>
      </c>
      <c r="D39" s="456" t="s">
        <v>21</v>
      </c>
      <c r="E39" s="457" t="s">
        <v>841</v>
      </c>
      <c r="F39" s="457" t="s">
        <v>22</v>
      </c>
      <c r="G39" s="457" t="s">
        <v>25</v>
      </c>
      <c r="H39" s="460" t="s">
        <v>31</v>
      </c>
      <c r="I39" s="460" t="s">
        <v>23</v>
      </c>
      <c r="J39" s="460" t="s">
        <v>34</v>
      </c>
      <c r="K39" s="461" t="s">
        <v>33</v>
      </c>
    </row>
    <row r="40" spans="3:11" ht="15.75">
      <c r="C40" s="454" t="s">
        <v>1589</v>
      </c>
      <c r="D40" s="456" t="s">
        <v>21</v>
      </c>
      <c r="E40" s="457" t="s">
        <v>22</v>
      </c>
      <c r="F40" s="457" t="s">
        <v>32</v>
      </c>
      <c r="G40" s="457" t="s">
        <v>25</v>
      </c>
      <c r="H40" s="460" t="s">
        <v>31</v>
      </c>
      <c r="I40" s="460" t="s">
        <v>23</v>
      </c>
      <c r="J40" s="460" t="s">
        <v>34</v>
      </c>
      <c r="K40" s="461" t="s">
        <v>33</v>
      </c>
    </row>
    <row r="41" spans="3:11" ht="15.75">
      <c r="C41" s="454" t="s">
        <v>1588</v>
      </c>
      <c r="D41" s="456" t="s">
        <v>21</v>
      </c>
      <c r="E41" s="457" t="s">
        <v>841</v>
      </c>
      <c r="F41" s="457" t="s">
        <v>22</v>
      </c>
      <c r="G41" s="457" t="s">
        <v>25</v>
      </c>
      <c r="H41" s="460" t="s">
        <v>31</v>
      </c>
      <c r="I41" s="460" t="s">
        <v>23</v>
      </c>
      <c r="J41" s="460" t="s">
        <v>34</v>
      </c>
      <c r="K41" s="461" t="s">
        <v>32</v>
      </c>
    </row>
    <row r="42" spans="3:11" ht="15.75">
      <c r="C42" s="454" t="s">
        <v>1587</v>
      </c>
      <c r="D42" s="456" t="s">
        <v>21</v>
      </c>
      <c r="E42" s="457" t="s">
        <v>841</v>
      </c>
      <c r="F42" s="457" t="s">
        <v>22</v>
      </c>
      <c r="G42" s="457" t="s">
        <v>25</v>
      </c>
      <c r="H42" s="460" t="s">
        <v>31</v>
      </c>
      <c r="I42" s="460" t="s">
        <v>23</v>
      </c>
      <c r="J42" s="460" t="s">
        <v>32</v>
      </c>
      <c r="K42" s="461" t="s">
        <v>33</v>
      </c>
    </row>
    <row r="43" spans="3:11" ht="15.75">
      <c r="C43" s="454" t="s">
        <v>1586</v>
      </c>
      <c r="D43" s="456" t="s">
        <v>21</v>
      </c>
      <c r="E43" s="457" t="s">
        <v>272</v>
      </c>
      <c r="F43" s="457" t="s">
        <v>22</v>
      </c>
      <c r="G43" s="457" t="s">
        <v>25</v>
      </c>
      <c r="H43" s="460" t="s">
        <v>841</v>
      </c>
      <c r="I43" s="460" t="s">
        <v>23</v>
      </c>
      <c r="J43" s="460" t="s">
        <v>34</v>
      </c>
      <c r="K43" s="461" t="s">
        <v>33</v>
      </c>
    </row>
    <row r="44" spans="3:11" ht="15.75">
      <c r="C44" s="454" t="s">
        <v>1585</v>
      </c>
      <c r="D44" s="456" t="s">
        <v>21</v>
      </c>
      <c r="E44" s="457" t="s">
        <v>272</v>
      </c>
      <c r="F44" s="457" t="s">
        <v>22</v>
      </c>
      <c r="G44" s="457" t="s">
        <v>25</v>
      </c>
      <c r="H44" s="460" t="s">
        <v>32</v>
      </c>
      <c r="I44" s="460" t="s">
        <v>23</v>
      </c>
      <c r="J44" s="460" t="s">
        <v>34</v>
      </c>
      <c r="K44" s="461" t="s">
        <v>33</v>
      </c>
    </row>
    <row r="45" spans="3:11" ht="15.75">
      <c r="C45" s="454" t="s">
        <v>1584</v>
      </c>
      <c r="D45" s="456" t="s">
        <v>21</v>
      </c>
      <c r="E45" s="457" t="s">
        <v>272</v>
      </c>
      <c r="F45" s="457" t="s">
        <v>22</v>
      </c>
      <c r="G45" s="457" t="s">
        <v>25</v>
      </c>
      <c r="H45" s="460" t="s">
        <v>841</v>
      </c>
      <c r="I45" s="460" t="s">
        <v>23</v>
      </c>
      <c r="J45" s="460" t="s">
        <v>34</v>
      </c>
      <c r="K45" s="461" t="s">
        <v>32</v>
      </c>
    </row>
    <row r="46" spans="3:11" ht="15.75">
      <c r="C46" s="454" t="s">
        <v>1583</v>
      </c>
      <c r="D46" s="456" t="s">
        <v>21</v>
      </c>
      <c r="E46" s="457" t="s">
        <v>272</v>
      </c>
      <c r="F46" s="457" t="s">
        <v>22</v>
      </c>
      <c r="G46" s="457" t="s">
        <v>25</v>
      </c>
      <c r="H46" s="460" t="s">
        <v>841</v>
      </c>
      <c r="I46" s="460" t="s">
        <v>23</v>
      </c>
      <c r="J46" s="460" t="s">
        <v>32</v>
      </c>
      <c r="K46" s="461" t="s">
        <v>33</v>
      </c>
    </row>
    <row r="47" spans="3:11" ht="15.75">
      <c r="C47" s="454" t="s">
        <v>1582</v>
      </c>
      <c r="D47" s="456" t="s">
        <v>21</v>
      </c>
      <c r="E47" s="457" t="s">
        <v>272</v>
      </c>
      <c r="F47" s="457" t="s">
        <v>22</v>
      </c>
      <c r="G47" s="457" t="s">
        <v>25</v>
      </c>
      <c r="H47" s="460" t="s">
        <v>31</v>
      </c>
      <c r="I47" s="460" t="s">
        <v>23</v>
      </c>
      <c r="J47" s="460" t="s">
        <v>34</v>
      </c>
      <c r="K47" s="461" t="s">
        <v>33</v>
      </c>
    </row>
    <row r="48" spans="3:11" ht="15.75">
      <c r="C48" s="454" t="s">
        <v>1581</v>
      </c>
      <c r="D48" s="456" t="s">
        <v>21</v>
      </c>
      <c r="E48" s="457" t="s">
        <v>272</v>
      </c>
      <c r="F48" s="457" t="s">
        <v>841</v>
      </c>
      <c r="G48" s="457" t="s">
        <v>25</v>
      </c>
      <c r="H48" s="460" t="s">
        <v>31</v>
      </c>
      <c r="I48" s="460" t="s">
        <v>23</v>
      </c>
      <c r="J48" s="460" t="s">
        <v>34</v>
      </c>
      <c r="K48" s="461" t="s">
        <v>22</v>
      </c>
    </row>
    <row r="49" spans="3:11" ht="15.75">
      <c r="C49" s="454" t="s">
        <v>1580</v>
      </c>
      <c r="D49" s="456" t="s">
        <v>21</v>
      </c>
      <c r="E49" s="457" t="s">
        <v>272</v>
      </c>
      <c r="F49" s="457" t="s">
        <v>841</v>
      </c>
      <c r="G49" s="457" t="s">
        <v>25</v>
      </c>
      <c r="H49" s="460" t="s">
        <v>31</v>
      </c>
      <c r="I49" s="460" t="s">
        <v>23</v>
      </c>
      <c r="J49" s="460" t="s">
        <v>22</v>
      </c>
      <c r="K49" s="461" t="s">
        <v>33</v>
      </c>
    </row>
    <row r="50" spans="3:11" ht="15.75">
      <c r="C50" s="454" t="s">
        <v>1579</v>
      </c>
      <c r="D50" s="456" t="s">
        <v>21</v>
      </c>
      <c r="E50" s="457" t="s">
        <v>272</v>
      </c>
      <c r="F50" s="457" t="s">
        <v>22</v>
      </c>
      <c r="G50" s="457" t="s">
        <v>25</v>
      </c>
      <c r="H50" s="460" t="s">
        <v>31</v>
      </c>
      <c r="I50" s="460" t="s">
        <v>23</v>
      </c>
      <c r="J50" s="460" t="s">
        <v>34</v>
      </c>
      <c r="K50" s="461" t="s">
        <v>32</v>
      </c>
    </row>
    <row r="51" spans="3:11" ht="15.75">
      <c r="C51" s="454" t="s">
        <v>1578</v>
      </c>
      <c r="D51" s="456" t="s">
        <v>21</v>
      </c>
      <c r="E51" s="457" t="s">
        <v>272</v>
      </c>
      <c r="F51" s="457" t="s">
        <v>22</v>
      </c>
      <c r="G51" s="457" t="s">
        <v>25</v>
      </c>
      <c r="H51" s="460" t="s">
        <v>31</v>
      </c>
      <c r="I51" s="460" t="s">
        <v>23</v>
      </c>
      <c r="J51" s="460" t="s">
        <v>32</v>
      </c>
      <c r="K51" s="461" t="s">
        <v>33</v>
      </c>
    </row>
    <row r="52" spans="3:11" ht="15.75">
      <c r="C52" s="454" t="s">
        <v>1577</v>
      </c>
      <c r="D52" s="456" t="s">
        <v>21</v>
      </c>
      <c r="E52" s="457" t="s">
        <v>272</v>
      </c>
      <c r="F52" s="457" t="s">
        <v>841</v>
      </c>
      <c r="G52" s="457" t="s">
        <v>25</v>
      </c>
      <c r="H52" s="460" t="s">
        <v>31</v>
      </c>
      <c r="I52" s="460" t="s">
        <v>23</v>
      </c>
      <c r="J52" s="460" t="s">
        <v>22</v>
      </c>
      <c r="K52" s="461" t="s">
        <v>32</v>
      </c>
    </row>
    <row r="53" spans="3:11" ht="15.75">
      <c r="C53" s="454" t="s">
        <v>1576</v>
      </c>
      <c r="D53" s="456" t="s">
        <v>31</v>
      </c>
      <c r="E53" s="457" t="s">
        <v>841</v>
      </c>
      <c r="F53" s="457" t="s">
        <v>20</v>
      </c>
      <c r="G53" s="457" t="s">
        <v>23</v>
      </c>
      <c r="H53" s="460" t="s">
        <v>32</v>
      </c>
      <c r="I53" s="460" t="s">
        <v>272</v>
      </c>
      <c r="J53" s="460" t="s">
        <v>34</v>
      </c>
      <c r="K53" s="461" t="s">
        <v>33</v>
      </c>
    </row>
    <row r="54" spans="3:11" ht="15.75">
      <c r="C54" s="454" t="s">
        <v>1575</v>
      </c>
      <c r="D54" s="456" t="s">
        <v>22</v>
      </c>
      <c r="E54" s="457" t="s">
        <v>841</v>
      </c>
      <c r="F54" s="457" t="s">
        <v>32</v>
      </c>
      <c r="G54" s="457" t="s">
        <v>20</v>
      </c>
      <c r="H54" s="460" t="s">
        <v>31</v>
      </c>
      <c r="I54" s="460" t="s">
        <v>272</v>
      </c>
      <c r="J54" s="460" t="s">
        <v>34</v>
      </c>
      <c r="K54" s="461" t="s">
        <v>33</v>
      </c>
    </row>
    <row r="55" spans="3:11" ht="15.75">
      <c r="C55" s="454" t="s">
        <v>1574</v>
      </c>
      <c r="D55" s="456" t="s">
        <v>22</v>
      </c>
      <c r="E55" s="457" t="s">
        <v>841</v>
      </c>
      <c r="F55" s="457" t="s">
        <v>20</v>
      </c>
      <c r="G55" s="457" t="s">
        <v>23</v>
      </c>
      <c r="H55" s="460" t="s">
        <v>32</v>
      </c>
      <c r="I55" s="460" t="s">
        <v>31</v>
      </c>
      <c r="J55" s="460" t="s">
        <v>34</v>
      </c>
      <c r="K55" s="461" t="s">
        <v>33</v>
      </c>
    </row>
    <row r="56" spans="3:11" ht="15.75">
      <c r="C56" s="454" t="s">
        <v>1573</v>
      </c>
      <c r="D56" s="456" t="s">
        <v>22</v>
      </c>
      <c r="E56" s="457" t="s">
        <v>841</v>
      </c>
      <c r="F56" s="457" t="s">
        <v>20</v>
      </c>
      <c r="G56" s="457" t="s">
        <v>23</v>
      </c>
      <c r="H56" s="460" t="s">
        <v>32</v>
      </c>
      <c r="I56" s="460" t="s">
        <v>272</v>
      </c>
      <c r="J56" s="460" t="s">
        <v>34</v>
      </c>
      <c r="K56" s="461" t="s">
        <v>33</v>
      </c>
    </row>
    <row r="57" spans="3:11" ht="15.75">
      <c r="C57" s="454" t="s">
        <v>1572</v>
      </c>
      <c r="D57" s="456" t="s">
        <v>22</v>
      </c>
      <c r="E57" s="457" t="s">
        <v>841</v>
      </c>
      <c r="F57" s="457" t="s">
        <v>20</v>
      </c>
      <c r="G57" s="457" t="s">
        <v>23</v>
      </c>
      <c r="H57" s="460" t="s">
        <v>31</v>
      </c>
      <c r="I57" s="460" t="s">
        <v>272</v>
      </c>
      <c r="J57" s="460" t="s">
        <v>34</v>
      </c>
      <c r="K57" s="461" t="s">
        <v>33</v>
      </c>
    </row>
    <row r="58" spans="3:11" ht="15.75">
      <c r="C58" s="454" t="s">
        <v>1571</v>
      </c>
      <c r="D58" s="456" t="s">
        <v>22</v>
      </c>
      <c r="E58" s="457" t="s">
        <v>272</v>
      </c>
      <c r="F58" s="457" t="s">
        <v>20</v>
      </c>
      <c r="G58" s="457" t="s">
        <v>23</v>
      </c>
      <c r="H58" s="460" t="s">
        <v>32</v>
      </c>
      <c r="I58" s="460" t="s">
        <v>31</v>
      </c>
      <c r="J58" s="460" t="s">
        <v>34</v>
      </c>
      <c r="K58" s="461" t="s">
        <v>33</v>
      </c>
    </row>
    <row r="59" spans="3:11" ht="15.75">
      <c r="C59" s="454" t="s">
        <v>1570</v>
      </c>
      <c r="D59" s="456" t="s">
        <v>22</v>
      </c>
      <c r="E59" s="457" t="s">
        <v>841</v>
      </c>
      <c r="F59" s="457" t="s">
        <v>20</v>
      </c>
      <c r="G59" s="457" t="s">
        <v>23</v>
      </c>
      <c r="H59" s="460" t="s">
        <v>31</v>
      </c>
      <c r="I59" s="460" t="s">
        <v>272</v>
      </c>
      <c r="J59" s="460" t="s">
        <v>34</v>
      </c>
      <c r="K59" s="461" t="s">
        <v>32</v>
      </c>
    </row>
    <row r="60" spans="3:11" ht="15.75">
      <c r="C60" s="454" t="s">
        <v>1569</v>
      </c>
      <c r="D60" s="456" t="s">
        <v>22</v>
      </c>
      <c r="E60" s="457" t="s">
        <v>841</v>
      </c>
      <c r="F60" s="457" t="s">
        <v>20</v>
      </c>
      <c r="G60" s="457" t="s">
        <v>23</v>
      </c>
      <c r="H60" s="460" t="s">
        <v>31</v>
      </c>
      <c r="I60" s="460" t="s">
        <v>272</v>
      </c>
      <c r="J60" s="460" t="s">
        <v>32</v>
      </c>
      <c r="K60" s="461" t="s">
        <v>33</v>
      </c>
    </row>
    <row r="61" spans="3:11" ht="15.75">
      <c r="C61" s="454" t="s">
        <v>1568</v>
      </c>
      <c r="D61" s="456" t="s">
        <v>31</v>
      </c>
      <c r="E61" s="457" t="s">
        <v>841</v>
      </c>
      <c r="F61" s="457" t="s">
        <v>20</v>
      </c>
      <c r="G61" s="457" t="s">
        <v>25</v>
      </c>
      <c r="H61" s="460" t="s">
        <v>32</v>
      </c>
      <c r="I61" s="460" t="s">
        <v>272</v>
      </c>
      <c r="J61" s="460" t="s">
        <v>34</v>
      </c>
      <c r="K61" s="461" t="s">
        <v>33</v>
      </c>
    </row>
    <row r="62" spans="3:11" ht="15.75">
      <c r="C62" s="454" t="s">
        <v>1567</v>
      </c>
      <c r="D62" s="456" t="s">
        <v>31</v>
      </c>
      <c r="E62" s="457" t="s">
        <v>841</v>
      </c>
      <c r="F62" s="457" t="s">
        <v>20</v>
      </c>
      <c r="G62" s="457" t="s">
        <v>25</v>
      </c>
      <c r="H62" s="460" t="s">
        <v>32</v>
      </c>
      <c r="I62" s="460" t="s">
        <v>23</v>
      </c>
      <c r="J62" s="460" t="s">
        <v>34</v>
      </c>
      <c r="K62" s="461" t="s">
        <v>33</v>
      </c>
    </row>
    <row r="63" spans="3:11" ht="15.75">
      <c r="C63" s="454" t="s">
        <v>1566</v>
      </c>
      <c r="D63" s="456" t="s">
        <v>32</v>
      </c>
      <c r="E63" s="457" t="s">
        <v>272</v>
      </c>
      <c r="F63" s="457" t="s">
        <v>20</v>
      </c>
      <c r="G63" s="457" t="s">
        <v>25</v>
      </c>
      <c r="H63" s="460" t="s">
        <v>841</v>
      </c>
      <c r="I63" s="460" t="s">
        <v>23</v>
      </c>
      <c r="J63" s="460" t="s">
        <v>34</v>
      </c>
      <c r="K63" s="461" t="s">
        <v>33</v>
      </c>
    </row>
    <row r="64" spans="3:11" ht="15.75">
      <c r="C64" s="454" t="s">
        <v>1565</v>
      </c>
      <c r="D64" s="456" t="s">
        <v>31</v>
      </c>
      <c r="E64" s="457" t="s">
        <v>272</v>
      </c>
      <c r="F64" s="457" t="s">
        <v>20</v>
      </c>
      <c r="G64" s="457" t="s">
        <v>25</v>
      </c>
      <c r="H64" s="460" t="s">
        <v>841</v>
      </c>
      <c r="I64" s="460" t="s">
        <v>23</v>
      </c>
      <c r="J64" s="460" t="s">
        <v>34</v>
      </c>
      <c r="K64" s="461" t="s">
        <v>33</v>
      </c>
    </row>
    <row r="65" spans="3:11" ht="15.75">
      <c r="C65" s="454" t="s">
        <v>1564</v>
      </c>
      <c r="D65" s="456" t="s">
        <v>31</v>
      </c>
      <c r="E65" s="457" t="s">
        <v>272</v>
      </c>
      <c r="F65" s="457" t="s">
        <v>20</v>
      </c>
      <c r="G65" s="457" t="s">
        <v>25</v>
      </c>
      <c r="H65" s="460" t="s">
        <v>32</v>
      </c>
      <c r="I65" s="460" t="s">
        <v>23</v>
      </c>
      <c r="J65" s="460" t="s">
        <v>34</v>
      </c>
      <c r="K65" s="461" t="s">
        <v>33</v>
      </c>
    </row>
    <row r="66" spans="3:11" ht="15.75">
      <c r="C66" s="454" t="s">
        <v>1563</v>
      </c>
      <c r="D66" s="456" t="s">
        <v>31</v>
      </c>
      <c r="E66" s="457" t="s">
        <v>272</v>
      </c>
      <c r="F66" s="457" t="s">
        <v>20</v>
      </c>
      <c r="G66" s="457" t="s">
        <v>25</v>
      </c>
      <c r="H66" s="460" t="s">
        <v>841</v>
      </c>
      <c r="I66" s="460" t="s">
        <v>23</v>
      </c>
      <c r="J66" s="460" t="s">
        <v>34</v>
      </c>
      <c r="K66" s="461" t="s">
        <v>32</v>
      </c>
    </row>
    <row r="67" spans="3:11" ht="15.75">
      <c r="C67" s="454" t="s">
        <v>1562</v>
      </c>
      <c r="D67" s="456" t="s">
        <v>31</v>
      </c>
      <c r="E67" s="457" t="s">
        <v>272</v>
      </c>
      <c r="F67" s="457" t="s">
        <v>20</v>
      </c>
      <c r="G67" s="457" t="s">
        <v>25</v>
      </c>
      <c r="H67" s="460" t="s">
        <v>841</v>
      </c>
      <c r="I67" s="460" t="s">
        <v>23</v>
      </c>
      <c r="J67" s="460" t="s">
        <v>32</v>
      </c>
      <c r="K67" s="461" t="s">
        <v>33</v>
      </c>
    </row>
    <row r="68" spans="3:11" ht="15.75">
      <c r="C68" s="454" t="s">
        <v>1561</v>
      </c>
      <c r="D68" s="456" t="s">
        <v>22</v>
      </c>
      <c r="E68" s="457" t="s">
        <v>841</v>
      </c>
      <c r="F68" s="457" t="s">
        <v>20</v>
      </c>
      <c r="G68" s="457" t="s">
        <v>25</v>
      </c>
      <c r="H68" s="460" t="s">
        <v>32</v>
      </c>
      <c r="I68" s="460" t="s">
        <v>31</v>
      </c>
      <c r="J68" s="460" t="s">
        <v>34</v>
      </c>
      <c r="K68" s="461" t="s">
        <v>33</v>
      </c>
    </row>
    <row r="69" spans="3:11" ht="15.75">
      <c r="C69" s="454" t="s">
        <v>1560</v>
      </c>
      <c r="D69" s="456" t="s">
        <v>22</v>
      </c>
      <c r="E69" s="457" t="s">
        <v>841</v>
      </c>
      <c r="F69" s="457" t="s">
        <v>20</v>
      </c>
      <c r="G69" s="457" t="s">
        <v>25</v>
      </c>
      <c r="H69" s="460" t="s">
        <v>32</v>
      </c>
      <c r="I69" s="460" t="s">
        <v>272</v>
      </c>
      <c r="J69" s="460" t="s">
        <v>34</v>
      </c>
      <c r="K69" s="461" t="s">
        <v>33</v>
      </c>
    </row>
    <row r="70" spans="3:11" ht="15.75">
      <c r="C70" s="454" t="s">
        <v>1559</v>
      </c>
      <c r="D70" s="456" t="s">
        <v>22</v>
      </c>
      <c r="E70" s="457" t="s">
        <v>841</v>
      </c>
      <c r="F70" s="457" t="s">
        <v>20</v>
      </c>
      <c r="G70" s="457" t="s">
        <v>25</v>
      </c>
      <c r="H70" s="460" t="s">
        <v>31</v>
      </c>
      <c r="I70" s="460" t="s">
        <v>272</v>
      </c>
      <c r="J70" s="460" t="s">
        <v>34</v>
      </c>
      <c r="K70" s="461" t="s">
        <v>33</v>
      </c>
    </row>
    <row r="71" spans="3:11" ht="15.75">
      <c r="C71" s="454" t="s">
        <v>1558</v>
      </c>
      <c r="D71" s="456" t="s">
        <v>22</v>
      </c>
      <c r="E71" s="457" t="s">
        <v>272</v>
      </c>
      <c r="F71" s="457" t="s">
        <v>20</v>
      </c>
      <c r="G71" s="457" t="s">
        <v>25</v>
      </c>
      <c r="H71" s="460" t="s">
        <v>32</v>
      </c>
      <c r="I71" s="460" t="s">
        <v>31</v>
      </c>
      <c r="J71" s="460" t="s">
        <v>34</v>
      </c>
      <c r="K71" s="461" t="s">
        <v>33</v>
      </c>
    </row>
    <row r="72" spans="3:11" ht="15.75">
      <c r="C72" s="454" t="s">
        <v>1557</v>
      </c>
      <c r="D72" s="456" t="s">
        <v>22</v>
      </c>
      <c r="E72" s="457" t="s">
        <v>841</v>
      </c>
      <c r="F72" s="457" t="s">
        <v>20</v>
      </c>
      <c r="G72" s="457" t="s">
        <v>25</v>
      </c>
      <c r="H72" s="460" t="s">
        <v>31</v>
      </c>
      <c r="I72" s="460" t="s">
        <v>272</v>
      </c>
      <c r="J72" s="460" t="s">
        <v>34</v>
      </c>
      <c r="K72" s="461" t="s">
        <v>32</v>
      </c>
    </row>
    <row r="73" spans="3:11" ht="15.75">
      <c r="C73" s="454" t="s">
        <v>1556</v>
      </c>
      <c r="D73" s="456" t="s">
        <v>22</v>
      </c>
      <c r="E73" s="457" t="s">
        <v>841</v>
      </c>
      <c r="F73" s="457" t="s">
        <v>20</v>
      </c>
      <c r="G73" s="457" t="s">
        <v>25</v>
      </c>
      <c r="H73" s="460" t="s">
        <v>31</v>
      </c>
      <c r="I73" s="460" t="s">
        <v>272</v>
      </c>
      <c r="J73" s="460" t="s">
        <v>32</v>
      </c>
      <c r="K73" s="461" t="s">
        <v>33</v>
      </c>
    </row>
    <row r="74" spans="3:11" ht="15.75">
      <c r="C74" s="454" t="s">
        <v>1555</v>
      </c>
      <c r="D74" s="456" t="s">
        <v>22</v>
      </c>
      <c r="E74" s="457" t="s">
        <v>841</v>
      </c>
      <c r="F74" s="457" t="s">
        <v>20</v>
      </c>
      <c r="G74" s="457" t="s">
        <v>25</v>
      </c>
      <c r="H74" s="460" t="s">
        <v>32</v>
      </c>
      <c r="I74" s="460" t="s">
        <v>23</v>
      </c>
      <c r="J74" s="460" t="s">
        <v>34</v>
      </c>
      <c r="K74" s="461" t="s">
        <v>33</v>
      </c>
    </row>
    <row r="75" spans="3:11" ht="15.75">
      <c r="C75" s="454" t="s">
        <v>1554</v>
      </c>
      <c r="D75" s="456" t="s">
        <v>22</v>
      </c>
      <c r="E75" s="457" t="s">
        <v>841</v>
      </c>
      <c r="F75" s="457" t="s">
        <v>20</v>
      </c>
      <c r="G75" s="457" t="s">
        <v>25</v>
      </c>
      <c r="H75" s="460" t="s">
        <v>31</v>
      </c>
      <c r="I75" s="460" t="s">
        <v>23</v>
      </c>
      <c r="J75" s="460" t="s">
        <v>34</v>
      </c>
      <c r="K75" s="461" t="s">
        <v>33</v>
      </c>
    </row>
    <row r="76" spans="3:11" ht="15.75">
      <c r="C76" s="454" t="s">
        <v>1553</v>
      </c>
      <c r="D76" s="456" t="s">
        <v>22</v>
      </c>
      <c r="E76" s="457" t="s">
        <v>32</v>
      </c>
      <c r="F76" s="457" t="s">
        <v>20</v>
      </c>
      <c r="G76" s="457" t="s">
        <v>25</v>
      </c>
      <c r="H76" s="460" t="s">
        <v>31</v>
      </c>
      <c r="I76" s="460" t="s">
        <v>23</v>
      </c>
      <c r="J76" s="460" t="s">
        <v>34</v>
      </c>
      <c r="K76" s="461" t="s">
        <v>33</v>
      </c>
    </row>
    <row r="77" spans="3:11" ht="15.75">
      <c r="C77" s="454" t="s">
        <v>1552</v>
      </c>
      <c r="D77" s="456" t="s">
        <v>22</v>
      </c>
      <c r="E77" s="457" t="s">
        <v>841</v>
      </c>
      <c r="F77" s="457" t="s">
        <v>20</v>
      </c>
      <c r="G77" s="457" t="s">
        <v>25</v>
      </c>
      <c r="H77" s="460" t="s">
        <v>31</v>
      </c>
      <c r="I77" s="460" t="s">
        <v>23</v>
      </c>
      <c r="J77" s="460" t="s">
        <v>34</v>
      </c>
      <c r="K77" s="461" t="s">
        <v>32</v>
      </c>
    </row>
    <row r="78" spans="3:11" ht="15.75">
      <c r="C78" s="454" t="s">
        <v>1551</v>
      </c>
      <c r="D78" s="456" t="s">
        <v>22</v>
      </c>
      <c r="E78" s="457" t="s">
        <v>841</v>
      </c>
      <c r="F78" s="457" t="s">
        <v>20</v>
      </c>
      <c r="G78" s="457" t="s">
        <v>25</v>
      </c>
      <c r="H78" s="460" t="s">
        <v>31</v>
      </c>
      <c r="I78" s="460" t="s">
        <v>23</v>
      </c>
      <c r="J78" s="460" t="s">
        <v>32</v>
      </c>
      <c r="K78" s="461" t="s">
        <v>33</v>
      </c>
    </row>
    <row r="79" spans="3:11" ht="15.75">
      <c r="C79" s="454" t="s">
        <v>1550</v>
      </c>
      <c r="D79" s="456" t="s">
        <v>22</v>
      </c>
      <c r="E79" s="457" t="s">
        <v>272</v>
      </c>
      <c r="F79" s="457" t="s">
        <v>20</v>
      </c>
      <c r="G79" s="457" t="s">
        <v>25</v>
      </c>
      <c r="H79" s="460" t="s">
        <v>841</v>
      </c>
      <c r="I79" s="460" t="s">
        <v>23</v>
      </c>
      <c r="J79" s="460" t="s">
        <v>34</v>
      </c>
      <c r="K79" s="461" t="s">
        <v>33</v>
      </c>
    </row>
    <row r="80" spans="3:11" ht="15.75">
      <c r="C80" s="454" t="s">
        <v>1549</v>
      </c>
      <c r="D80" s="456" t="s">
        <v>22</v>
      </c>
      <c r="E80" s="457" t="s">
        <v>272</v>
      </c>
      <c r="F80" s="457" t="s">
        <v>20</v>
      </c>
      <c r="G80" s="457" t="s">
        <v>25</v>
      </c>
      <c r="H80" s="460" t="s">
        <v>32</v>
      </c>
      <c r="I80" s="460" t="s">
        <v>23</v>
      </c>
      <c r="J80" s="460" t="s">
        <v>34</v>
      </c>
      <c r="K80" s="461" t="s">
        <v>33</v>
      </c>
    </row>
    <row r="81" spans="3:11" ht="15.75">
      <c r="C81" s="454" t="s">
        <v>1548</v>
      </c>
      <c r="D81" s="456" t="s">
        <v>22</v>
      </c>
      <c r="E81" s="457" t="s">
        <v>272</v>
      </c>
      <c r="F81" s="457" t="s">
        <v>20</v>
      </c>
      <c r="G81" s="457" t="s">
        <v>25</v>
      </c>
      <c r="H81" s="460" t="s">
        <v>841</v>
      </c>
      <c r="I81" s="460" t="s">
        <v>23</v>
      </c>
      <c r="J81" s="460" t="s">
        <v>34</v>
      </c>
      <c r="K81" s="461" t="s">
        <v>32</v>
      </c>
    </row>
    <row r="82" spans="3:11" ht="15.75">
      <c r="C82" s="454" t="s">
        <v>1547</v>
      </c>
      <c r="D82" s="456" t="s">
        <v>22</v>
      </c>
      <c r="E82" s="457" t="s">
        <v>272</v>
      </c>
      <c r="F82" s="457" t="s">
        <v>20</v>
      </c>
      <c r="G82" s="457" t="s">
        <v>25</v>
      </c>
      <c r="H82" s="460" t="s">
        <v>841</v>
      </c>
      <c r="I82" s="460" t="s">
        <v>23</v>
      </c>
      <c r="J82" s="460" t="s">
        <v>32</v>
      </c>
      <c r="K82" s="461" t="s">
        <v>33</v>
      </c>
    </row>
    <row r="83" spans="3:11" ht="15.75">
      <c r="C83" s="454" t="s">
        <v>1546</v>
      </c>
      <c r="D83" s="456" t="s">
        <v>22</v>
      </c>
      <c r="E83" s="457" t="s">
        <v>272</v>
      </c>
      <c r="F83" s="457" t="s">
        <v>20</v>
      </c>
      <c r="G83" s="457" t="s">
        <v>25</v>
      </c>
      <c r="H83" s="460" t="s">
        <v>31</v>
      </c>
      <c r="I83" s="460" t="s">
        <v>23</v>
      </c>
      <c r="J83" s="460" t="s">
        <v>34</v>
      </c>
      <c r="K83" s="461" t="s">
        <v>33</v>
      </c>
    </row>
    <row r="84" spans="3:11" ht="15.75">
      <c r="C84" s="454" t="s">
        <v>1545</v>
      </c>
      <c r="D84" s="456" t="s">
        <v>31</v>
      </c>
      <c r="E84" s="457" t="s">
        <v>272</v>
      </c>
      <c r="F84" s="457" t="s">
        <v>20</v>
      </c>
      <c r="G84" s="457" t="s">
        <v>25</v>
      </c>
      <c r="H84" s="460" t="s">
        <v>841</v>
      </c>
      <c r="I84" s="460" t="s">
        <v>23</v>
      </c>
      <c r="J84" s="460" t="s">
        <v>34</v>
      </c>
      <c r="K84" s="461" t="s">
        <v>22</v>
      </c>
    </row>
    <row r="85" spans="3:11" ht="15.75">
      <c r="C85" s="454" t="s">
        <v>1544</v>
      </c>
      <c r="D85" s="456" t="s">
        <v>31</v>
      </c>
      <c r="E85" s="457" t="s">
        <v>272</v>
      </c>
      <c r="F85" s="457" t="s">
        <v>20</v>
      </c>
      <c r="G85" s="457" t="s">
        <v>25</v>
      </c>
      <c r="H85" s="460" t="s">
        <v>841</v>
      </c>
      <c r="I85" s="460" t="s">
        <v>23</v>
      </c>
      <c r="J85" s="460" t="s">
        <v>22</v>
      </c>
      <c r="K85" s="461" t="s">
        <v>33</v>
      </c>
    </row>
    <row r="86" spans="3:11" ht="15.75">
      <c r="C86" s="454" t="s">
        <v>1543</v>
      </c>
      <c r="D86" s="456" t="s">
        <v>22</v>
      </c>
      <c r="E86" s="457" t="s">
        <v>272</v>
      </c>
      <c r="F86" s="457" t="s">
        <v>20</v>
      </c>
      <c r="G86" s="457" t="s">
        <v>25</v>
      </c>
      <c r="H86" s="460" t="s">
        <v>31</v>
      </c>
      <c r="I86" s="460" t="s">
        <v>23</v>
      </c>
      <c r="J86" s="460" t="s">
        <v>34</v>
      </c>
      <c r="K86" s="461" t="s">
        <v>32</v>
      </c>
    </row>
    <row r="87" spans="3:11" ht="15.75">
      <c r="C87" s="454" t="s">
        <v>1542</v>
      </c>
      <c r="D87" s="456" t="s">
        <v>22</v>
      </c>
      <c r="E87" s="457" t="s">
        <v>272</v>
      </c>
      <c r="F87" s="457" t="s">
        <v>20</v>
      </c>
      <c r="G87" s="457" t="s">
        <v>25</v>
      </c>
      <c r="H87" s="460" t="s">
        <v>31</v>
      </c>
      <c r="I87" s="460" t="s">
        <v>23</v>
      </c>
      <c r="J87" s="460" t="s">
        <v>32</v>
      </c>
      <c r="K87" s="461" t="s">
        <v>33</v>
      </c>
    </row>
    <row r="88" spans="3:11" ht="15.75">
      <c r="C88" s="454" t="s">
        <v>1541</v>
      </c>
      <c r="D88" s="456" t="s">
        <v>31</v>
      </c>
      <c r="E88" s="457" t="s">
        <v>272</v>
      </c>
      <c r="F88" s="457" t="s">
        <v>20</v>
      </c>
      <c r="G88" s="457" t="s">
        <v>25</v>
      </c>
      <c r="H88" s="460" t="s">
        <v>841</v>
      </c>
      <c r="I88" s="460" t="s">
        <v>23</v>
      </c>
      <c r="J88" s="460" t="s">
        <v>22</v>
      </c>
      <c r="K88" s="461" t="s">
        <v>32</v>
      </c>
    </row>
    <row r="89" spans="3:11" ht="15.75">
      <c r="C89" s="454" t="s">
        <v>1540</v>
      </c>
      <c r="D89" s="456" t="s">
        <v>31</v>
      </c>
      <c r="E89" s="457" t="s">
        <v>841</v>
      </c>
      <c r="F89" s="457" t="s">
        <v>20</v>
      </c>
      <c r="G89" s="457" t="s">
        <v>21</v>
      </c>
      <c r="H89" s="460" t="s">
        <v>32</v>
      </c>
      <c r="I89" s="460" t="s">
        <v>272</v>
      </c>
      <c r="J89" s="460" t="s">
        <v>34</v>
      </c>
      <c r="K89" s="461" t="s">
        <v>33</v>
      </c>
    </row>
    <row r="90" spans="3:11" ht="15.75">
      <c r="C90" s="454" t="s">
        <v>1539</v>
      </c>
      <c r="D90" s="456" t="s">
        <v>31</v>
      </c>
      <c r="E90" s="457" t="s">
        <v>841</v>
      </c>
      <c r="F90" s="457" t="s">
        <v>20</v>
      </c>
      <c r="G90" s="457" t="s">
        <v>21</v>
      </c>
      <c r="H90" s="460" t="s">
        <v>32</v>
      </c>
      <c r="I90" s="460" t="s">
        <v>23</v>
      </c>
      <c r="J90" s="460" t="s">
        <v>34</v>
      </c>
      <c r="K90" s="461" t="s">
        <v>33</v>
      </c>
    </row>
    <row r="91" spans="3:11" ht="15.75">
      <c r="C91" s="454" t="s">
        <v>1538</v>
      </c>
      <c r="D91" s="456" t="s">
        <v>32</v>
      </c>
      <c r="E91" s="457" t="s">
        <v>272</v>
      </c>
      <c r="F91" s="457" t="s">
        <v>20</v>
      </c>
      <c r="G91" s="457" t="s">
        <v>21</v>
      </c>
      <c r="H91" s="460" t="s">
        <v>841</v>
      </c>
      <c r="I91" s="460" t="s">
        <v>23</v>
      </c>
      <c r="J91" s="460" t="s">
        <v>34</v>
      </c>
      <c r="K91" s="461" t="s">
        <v>33</v>
      </c>
    </row>
    <row r="92" spans="3:11" ht="15.75">
      <c r="C92" s="454" t="s">
        <v>1537</v>
      </c>
      <c r="D92" s="456" t="s">
        <v>31</v>
      </c>
      <c r="E92" s="457" t="s">
        <v>272</v>
      </c>
      <c r="F92" s="457" t="s">
        <v>20</v>
      </c>
      <c r="G92" s="457" t="s">
        <v>21</v>
      </c>
      <c r="H92" s="460" t="s">
        <v>841</v>
      </c>
      <c r="I92" s="460" t="s">
        <v>23</v>
      </c>
      <c r="J92" s="460" t="s">
        <v>34</v>
      </c>
      <c r="K92" s="461" t="s">
        <v>33</v>
      </c>
    </row>
    <row r="93" spans="3:11" ht="15.75">
      <c r="C93" s="454" t="s">
        <v>1536</v>
      </c>
      <c r="D93" s="456" t="s">
        <v>31</v>
      </c>
      <c r="E93" s="457" t="s">
        <v>272</v>
      </c>
      <c r="F93" s="457" t="s">
        <v>20</v>
      </c>
      <c r="G93" s="457" t="s">
        <v>21</v>
      </c>
      <c r="H93" s="460" t="s">
        <v>32</v>
      </c>
      <c r="I93" s="460" t="s">
        <v>23</v>
      </c>
      <c r="J93" s="460" t="s">
        <v>34</v>
      </c>
      <c r="K93" s="461" t="s">
        <v>33</v>
      </c>
    </row>
    <row r="94" spans="3:11" ht="15.75">
      <c r="C94" s="454" t="s">
        <v>1535</v>
      </c>
      <c r="D94" s="456" t="s">
        <v>31</v>
      </c>
      <c r="E94" s="457" t="s">
        <v>272</v>
      </c>
      <c r="F94" s="457" t="s">
        <v>20</v>
      </c>
      <c r="G94" s="457" t="s">
        <v>21</v>
      </c>
      <c r="H94" s="460" t="s">
        <v>841</v>
      </c>
      <c r="I94" s="460" t="s">
        <v>23</v>
      </c>
      <c r="J94" s="460" t="s">
        <v>34</v>
      </c>
      <c r="K94" s="461" t="s">
        <v>32</v>
      </c>
    </row>
    <row r="95" spans="3:11" ht="15.75">
      <c r="C95" s="454" t="s">
        <v>1534</v>
      </c>
      <c r="D95" s="456" t="s">
        <v>31</v>
      </c>
      <c r="E95" s="457" t="s">
        <v>272</v>
      </c>
      <c r="F95" s="457" t="s">
        <v>20</v>
      </c>
      <c r="G95" s="457" t="s">
        <v>21</v>
      </c>
      <c r="H95" s="460" t="s">
        <v>841</v>
      </c>
      <c r="I95" s="460" t="s">
        <v>23</v>
      </c>
      <c r="J95" s="460" t="s">
        <v>32</v>
      </c>
      <c r="K95" s="461" t="s">
        <v>33</v>
      </c>
    </row>
    <row r="96" spans="3:11" ht="15.75">
      <c r="C96" s="454" t="s">
        <v>1533</v>
      </c>
      <c r="D96" s="456" t="s">
        <v>22</v>
      </c>
      <c r="E96" s="457" t="s">
        <v>841</v>
      </c>
      <c r="F96" s="457" t="s">
        <v>20</v>
      </c>
      <c r="G96" s="457" t="s">
        <v>21</v>
      </c>
      <c r="H96" s="460" t="s">
        <v>32</v>
      </c>
      <c r="I96" s="460" t="s">
        <v>31</v>
      </c>
      <c r="J96" s="460" t="s">
        <v>34</v>
      </c>
      <c r="K96" s="461" t="s">
        <v>33</v>
      </c>
    </row>
    <row r="97" spans="3:11" ht="15.75">
      <c r="C97" s="454" t="s">
        <v>1532</v>
      </c>
      <c r="D97" s="456" t="s">
        <v>22</v>
      </c>
      <c r="E97" s="457" t="s">
        <v>841</v>
      </c>
      <c r="F97" s="457" t="s">
        <v>20</v>
      </c>
      <c r="G97" s="457" t="s">
        <v>21</v>
      </c>
      <c r="H97" s="460" t="s">
        <v>32</v>
      </c>
      <c r="I97" s="460" t="s">
        <v>272</v>
      </c>
      <c r="J97" s="460" t="s">
        <v>34</v>
      </c>
      <c r="K97" s="461" t="s">
        <v>33</v>
      </c>
    </row>
    <row r="98" spans="3:11" ht="15.75">
      <c r="C98" s="454" t="s">
        <v>1531</v>
      </c>
      <c r="D98" s="456" t="s">
        <v>22</v>
      </c>
      <c r="E98" s="457" t="s">
        <v>841</v>
      </c>
      <c r="F98" s="457" t="s">
        <v>20</v>
      </c>
      <c r="G98" s="457" t="s">
        <v>21</v>
      </c>
      <c r="H98" s="460" t="s">
        <v>31</v>
      </c>
      <c r="I98" s="460" t="s">
        <v>272</v>
      </c>
      <c r="J98" s="460" t="s">
        <v>34</v>
      </c>
      <c r="K98" s="461" t="s">
        <v>33</v>
      </c>
    </row>
    <row r="99" spans="3:11" ht="15.75">
      <c r="C99" s="454" t="s">
        <v>1530</v>
      </c>
      <c r="D99" s="456" t="s">
        <v>22</v>
      </c>
      <c r="E99" s="457" t="s">
        <v>272</v>
      </c>
      <c r="F99" s="457" t="s">
        <v>20</v>
      </c>
      <c r="G99" s="457" t="s">
        <v>21</v>
      </c>
      <c r="H99" s="460" t="s">
        <v>32</v>
      </c>
      <c r="I99" s="460" t="s">
        <v>31</v>
      </c>
      <c r="J99" s="460" t="s">
        <v>34</v>
      </c>
      <c r="K99" s="461" t="s">
        <v>33</v>
      </c>
    </row>
    <row r="100" spans="3:11" ht="15.75">
      <c r="C100" s="454" t="s">
        <v>1529</v>
      </c>
      <c r="D100" s="456" t="s">
        <v>22</v>
      </c>
      <c r="E100" s="457" t="s">
        <v>841</v>
      </c>
      <c r="F100" s="457" t="s">
        <v>20</v>
      </c>
      <c r="G100" s="457" t="s">
        <v>21</v>
      </c>
      <c r="H100" s="460" t="s">
        <v>31</v>
      </c>
      <c r="I100" s="460" t="s">
        <v>272</v>
      </c>
      <c r="J100" s="460" t="s">
        <v>34</v>
      </c>
      <c r="K100" s="461" t="s">
        <v>32</v>
      </c>
    </row>
    <row r="101" spans="3:11" ht="15.75">
      <c r="C101" s="454" t="s">
        <v>1528</v>
      </c>
      <c r="D101" s="456" t="s">
        <v>22</v>
      </c>
      <c r="E101" s="457" t="s">
        <v>841</v>
      </c>
      <c r="F101" s="457" t="s">
        <v>20</v>
      </c>
      <c r="G101" s="457" t="s">
        <v>21</v>
      </c>
      <c r="H101" s="460" t="s">
        <v>31</v>
      </c>
      <c r="I101" s="460" t="s">
        <v>272</v>
      </c>
      <c r="J101" s="460" t="s">
        <v>32</v>
      </c>
      <c r="K101" s="461" t="s">
        <v>33</v>
      </c>
    </row>
    <row r="102" spans="3:11" ht="15.75">
      <c r="C102" s="454" t="s">
        <v>1527</v>
      </c>
      <c r="D102" s="456" t="s">
        <v>22</v>
      </c>
      <c r="E102" s="457" t="s">
        <v>841</v>
      </c>
      <c r="F102" s="457" t="s">
        <v>20</v>
      </c>
      <c r="G102" s="457" t="s">
        <v>21</v>
      </c>
      <c r="H102" s="460" t="s">
        <v>32</v>
      </c>
      <c r="I102" s="460" t="s">
        <v>23</v>
      </c>
      <c r="J102" s="460" t="s">
        <v>34</v>
      </c>
      <c r="K102" s="461" t="s">
        <v>33</v>
      </c>
    </row>
    <row r="103" spans="3:11" ht="15.75">
      <c r="C103" s="454" t="s">
        <v>1526</v>
      </c>
      <c r="D103" s="456" t="s">
        <v>22</v>
      </c>
      <c r="E103" s="457" t="s">
        <v>841</v>
      </c>
      <c r="F103" s="457" t="s">
        <v>20</v>
      </c>
      <c r="G103" s="457" t="s">
        <v>21</v>
      </c>
      <c r="H103" s="460" t="s">
        <v>31</v>
      </c>
      <c r="I103" s="460" t="s">
        <v>23</v>
      </c>
      <c r="J103" s="460" t="s">
        <v>34</v>
      </c>
      <c r="K103" s="461" t="s">
        <v>33</v>
      </c>
    </row>
    <row r="104" spans="3:11" ht="15.75">
      <c r="C104" s="454" t="s">
        <v>1525</v>
      </c>
      <c r="D104" s="456" t="s">
        <v>22</v>
      </c>
      <c r="E104" s="457" t="s">
        <v>32</v>
      </c>
      <c r="F104" s="457" t="s">
        <v>20</v>
      </c>
      <c r="G104" s="457" t="s">
        <v>21</v>
      </c>
      <c r="H104" s="460" t="s">
        <v>31</v>
      </c>
      <c r="I104" s="460" t="s">
        <v>23</v>
      </c>
      <c r="J104" s="460" t="s">
        <v>34</v>
      </c>
      <c r="K104" s="461" t="s">
        <v>33</v>
      </c>
    </row>
    <row r="105" spans="3:11" ht="15.75">
      <c r="C105" s="454" t="s">
        <v>1524</v>
      </c>
      <c r="D105" s="456" t="s">
        <v>22</v>
      </c>
      <c r="E105" s="457" t="s">
        <v>841</v>
      </c>
      <c r="F105" s="457" t="s">
        <v>20</v>
      </c>
      <c r="G105" s="457" t="s">
        <v>21</v>
      </c>
      <c r="H105" s="460" t="s">
        <v>31</v>
      </c>
      <c r="I105" s="460" t="s">
        <v>23</v>
      </c>
      <c r="J105" s="460" t="s">
        <v>34</v>
      </c>
      <c r="K105" s="461" t="s">
        <v>32</v>
      </c>
    </row>
    <row r="106" spans="3:11" ht="15.75">
      <c r="C106" s="454" t="s">
        <v>1523</v>
      </c>
      <c r="D106" s="456" t="s">
        <v>22</v>
      </c>
      <c r="E106" s="457" t="s">
        <v>841</v>
      </c>
      <c r="F106" s="457" t="s">
        <v>20</v>
      </c>
      <c r="G106" s="457" t="s">
        <v>21</v>
      </c>
      <c r="H106" s="460" t="s">
        <v>31</v>
      </c>
      <c r="I106" s="460" t="s">
        <v>23</v>
      </c>
      <c r="J106" s="460" t="s">
        <v>32</v>
      </c>
      <c r="K106" s="461" t="s">
        <v>33</v>
      </c>
    </row>
    <row r="107" spans="3:11" ht="15.75">
      <c r="C107" s="454" t="s">
        <v>1522</v>
      </c>
      <c r="D107" s="456" t="s">
        <v>22</v>
      </c>
      <c r="E107" s="457" t="s">
        <v>272</v>
      </c>
      <c r="F107" s="457" t="s">
        <v>20</v>
      </c>
      <c r="G107" s="457" t="s">
        <v>21</v>
      </c>
      <c r="H107" s="460" t="s">
        <v>841</v>
      </c>
      <c r="I107" s="460" t="s">
        <v>23</v>
      </c>
      <c r="J107" s="460" t="s">
        <v>34</v>
      </c>
      <c r="K107" s="461" t="s">
        <v>33</v>
      </c>
    </row>
    <row r="108" spans="3:11" ht="15.75">
      <c r="C108" s="454" t="s">
        <v>1521</v>
      </c>
      <c r="D108" s="456" t="s">
        <v>22</v>
      </c>
      <c r="E108" s="457" t="s">
        <v>272</v>
      </c>
      <c r="F108" s="457" t="s">
        <v>20</v>
      </c>
      <c r="G108" s="457" t="s">
        <v>21</v>
      </c>
      <c r="H108" s="460" t="s">
        <v>32</v>
      </c>
      <c r="I108" s="460" t="s">
        <v>23</v>
      </c>
      <c r="J108" s="460" t="s">
        <v>34</v>
      </c>
      <c r="K108" s="461" t="s">
        <v>33</v>
      </c>
    </row>
    <row r="109" spans="3:11" ht="15.75">
      <c r="C109" s="454" t="s">
        <v>1520</v>
      </c>
      <c r="D109" s="456" t="s">
        <v>22</v>
      </c>
      <c r="E109" s="457" t="s">
        <v>272</v>
      </c>
      <c r="F109" s="457" t="s">
        <v>20</v>
      </c>
      <c r="G109" s="457" t="s">
        <v>21</v>
      </c>
      <c r="H109" s="460" t="s">
        <v>841</v>
      </c>
      <c r="I109" s="460" t="s">
        <v>23</v>
      </c>
      <c r="J109" s="460" t="s">
        <v>34</v>
      </c>
      <c r="K109" s="461" t="s">
        <v>32</v>
      </c>
    </row>
    <row r="110" spans="3:11" ht="15.75">
      <c r="C110" s="454" t="s">
        <v>1519</v>
      </c>
      <c r="D110" s="456" t="s">
        <v>22</v>
      </c>
      <c r="E110" s="457" t="s">
        <v>272</v>
      </c>
      <c r="F110" s="457" t="s">
        <v>20</v>
      </c>
      <c r="G110" s="457" t="s">
        <v>21</v>
      </c>
      <c r="H110" s="460" t="s">
        <v>841</v>
      </c>
      <c r="I110" s="460" t="s">
        <v>23</v>
      </c>
      <c r="J110" s="460" t="s">
        <v>32</v>
      </c>
      <c r="K110" s="461" t="s">
        <v>33</v>
      </c>
    </row>
    <row r="111" spans="3:11" ht="15.75">
      <c r="C111" s="454" t="s">
        <v>1518</v>
      </c>
      <c r="D111" s="456" t="s">
        <v>22</v>
      </c>
      <c r="E111" s="457" t="s">
        <v>272</v>
      </c>
      <c r="F111" s="457" t="s">
        <v>20</v>
      </c>
      <c r="G111" s="457" t="s">
        <v>21</v>
      </c>
      <c r="H111" s="460" t="s">
        <v>31</v>
      </c>
      <c r="I111" s="460" t="s">
        <v>23</v>
      </c>
      <c r="J111" s="460" t="s">
        <v>34</v>
      </c>
      <c r="K111" s="461" t="s">
        <v>33</v>
      </c>
    </row>
    <row r="112" spans="3:11" ht="15.75">
      <c r="C112" s="454" t="s">
        <v>1517</v>
      </c>
      <c r="D112" s="456" t="s">
        <v>31</v>
      </c>
      <c r="E112" s="457" t="s">
        <v>272</v>
      </c>
      <c r="F112" s="457" t="s">
        <v>20</v>
      </c>
      <c r="G112" s="457" t="s">
        <v>21</v>
      </c>
      <c r="H112" s="460" t="s">
        <v>841</v>
      </c>
      <c r="I112" s="460" t="s">
        <v>23</v>
      </c>
      <c r="J112" s="460" t="s">
        <v>34</v>
      </c>
      <c r="K112" s="461" t="s">
        <v>22</v>
      </c>
    </row>
    <row r="113" spans="3:11" ht="15.75">
      <c r="C113" s="454" t="s">
        <v>1516</v>
      </c>
      <c r="D113" s="456" t="s">
        <v>31</v>
      </c>
      <c r="E113" s="457" t="s">
        <v>272</v>
      </c>
      <c r="F113" s="457" t="s">
        <v>20</v>
      </c>
      <c r="G113" s="457" t="s">
        <v>21</v>
      </c>
      <c r="H113" s="460" t="s">
        <v>841</v>
      </c>
      <c r="I113" s="460" t="s">
        <v>23</v>
      </c>
      <c r="J113" s="460" t="s">
        <v>22</v>
      </c>
      <c r="K113" s="461" t="s">
        <v>33</v>
      </c>
    </row>
    <row r="114" spans="3:11" ht="15.75">
      <c r="C114" s="454" t="s">
        <v>1515</v>
      </c>
      <c r="D114" s="456" t="s">
        <v>22</v>
      </c>
      <c r="E114" s="457" t="s">
        <v>272</v>
      </c>
      <c r="F114" s="457" t="s">
        <v>20</v>
      </c>
      <c r="G114" s="457" t="s">
        <v>21</v>
      </c>
      <c r="H114" s="460" t="s">
        <v>31</v>
      </c>
      <c r="I114" s="460" t="s">
        <v>23</v>
      </c>
      <c r="J114" s="460" t="s">
        <v>34</v>
      </c>
      <c r="K114" s="461" t="s">
        <v>32</v>
      </c>
    </row>
    <row r="115" spans="3:11" ht="15.75">
      <c r="C115" s="454" t="s">
        <v>1514</v>
      </c>
      <c r="D115" s="456" t="s">
        <v>22</v>
      </c>
      <c r="E115" s="457" t="s">
        <v>272</v>
      </c>
      <c r="F115" s="457" t="s">
        <v>20</v>
      </c>
      <c r="G115" s="457" t="s">
        <v>21</v>
      </c>
      <c r="H115" s="460" t="s">
        <v>31</v>
      </c>
      <c r="I115" s="460" t="s">
        <v>23</v>
      </c>
      <c r="J115" s="460" t="s">
        <v>32</v>
      </c>
      <c r="K115" s="461" t="s">
        <v>33</v>
      </c>
    </row>
    <row r="116" spans="3:11" ht="15.75">
      <c r="C116" s="454" t="s">
        <v>1513</v>
      </c>
      <c r="D116" s="456" t="s">
        <v>31</v>
      </c>
      <c r="E116" s="457" t="s">
        <v>272</v>
      </c>
      <c r="F116" s="457" t="s">
        <v>20</v>
      </c>
      <c r="G116" s="457" t="s">
        <v>21</v>
      </c>
      <c r="H116" s="460" t="s">
        <v>841</v>
      </c>
      <c r="I116" s="460" t="s">
        <v>23</v>
      </c>
      <c r="J116" s="460" t="s">
        <v>22</v>
      </c>
      <c r="K116" s="461" t="s">
        <v>32</v>
      </c>
    </row>
    <row r="117" spans="3:11" ht="15.75">
      <c r="C117" s="454" t="s">
        <v>1512</v>
      </c>
      <c r="D117" s="456" t="s">
        <v>31</v>
      </c>
      <c r="E117" s="457" t="s">
        <v>841</v>
      </c>
      <c r="F117" s="457" t="s">
        <v>20</v>
      </c>
      <c r="G117" s="457" t="s">
        <v>21</v>
      </c>
      <c r="H117" s="460" t="s">
        <v>32</v>
      </c>
      <c r="I117" s="460" t="s">
        <v>25</v>
      </c>
      <c r="J117" s="460" t="s">
        <v>34</v>
      </c>
      <c r="K117" s="461" t="s">
        <v>33</v>
      </c>
    </row>
    <row r="118" spans="3:11" ht="15.75">
      <c r="C118" s="454" t="s">
        <v>1511</v>
      </c>
      <c r="D118" s="456" t="s">
        <v>32</v>
      </c>
      <c r="E118" s="457" t="s">
        <v>272</v>
      </c>
      <c r="F118" s="457" t="s">
        <v>20</v>
      </c>
      <c r="G118" s="457" t="s">
        <v>21</v>
      </c>
      <c r="H118" s="460" t="s">
        <v>841</v>
      </c>
      <c r="I118" s="460" t="s">
        <v>25</v>
      </c>
      <c r="J118" s="460" t="s">
        <v>34</v>
      </c>
      <c r="K118" s="461" t="s">
        <v>33</v>
      </c>
    </row>
    <row r="119" spans="3:11" ht="15.75">
      <c r="C119" s="454" t="s">
        <v>1510</v>
      </c>
      <c r="D119" s="456" t="s">
        <v>31</v>
      </c>
      <c r="E119" s="457" t="s">
        <v>272</v>
      </c>
      <c r="F119" s="457" t="s">
        <v>20</v>
      </c>
      <c r="G119" s="457" t="s">
        <v>21</v>
      </c>
      <c r="H119" s="460" t="s">
        <v>841</v>
      </c>
      <c r="I119" s="460" t="s">
        <v>25</v>
      </c>
      <c r="J119" s="460" t="s">
        <v>34</v>
      </c>
      <c r="K119" s="461" t="s">
        <v>33</v>
      </c>
    </row>
    <row r="120" spans="3:11" ht="15.75">
      <c r="C120" s="454" t="s">
        <v>1509</v>
      </c>
      <c r="D120" s="456" t="s">
        <v>31</v>
      </c>
      <c r="E120" s="457" t="s">
        <v>272</v>
      </c>
      <c r="F120" s="457" t="s">
        <v>20</v>
      </c>
      <c r="G120" s="457" t="s">
        <v>21</v>
      </c>
      <c r="H120" s="460" t="s">
        <v>32</v>
      </c>
      <c r="I120" s="460" t="s">
        <v>25</v>
      </c>
      <c r="J120" s="460" t="s">
        <v>34</v>
      </c>
      <c r="K120" s="461" t="s">
        <v>33</v>
      </c>
    </row>
    <row r="121" spans="3:11" ht="15.75">
      <c r="C121" s="454" t="s">
        <v>1508</v>
      </c>
      <c r="D121" s="456" t="s">
        <v>31</v>
      </c>
      <c r="E121" s="457" t="s">
        <v>272</v>
      </c>
      <c r="F121" s="457" t="s">
        <v>20</v>
      </c>
      <c r="G121" s="457" t="s">
        <v>21</v>
      </c>
      <c r="H121" s="460" t="s">
        <v>841</v>
      </c>
      <c r="I121" s="460" t="s">
        <v>25</v>
      </c>
      <c r="J121" s="460" t="s">
        <v>34</v>
      </c>
      <c r="K121" s="461" t="s">
        <v>32</v>
      </c>
    </row>
    <row r="122" spans="3:11" ht="15.75">
      <c r="C122" s="454" t="s">
        <v>1507</v>
      </c>
      <c r="D122" s="456" t="s">
        <v>31</v>
      </c>
      <c r="E122" s="457" t="s">
        <v>272</v>
      </c>
      <c r="F122" s="457" t="s">
        <v>20</v>
      </c>
      <c r="G122" s="457" t="s">
        <v>21</v>
      </c>
      <c r="H122" s="460" t="s">
        <v>841</v>
      </c>
      <c r="I122" s="460" t="s">
        <v>25</v>
      </c>
      <c r="J122" s="460" t="s">
        <v>32</v>
      </c>
      <c r="K122" s="461" t="s">
        <v>33</v>
      </c>
    </row>
    <row r="123" spans="3:11" ht="15.75">
      <c r="C123" s="454" t="s">
        <v>1506</v>
      </c>
      <c r="D123" s="456" t="s">
        <v>21</v>
      </c>
      <c r="E123" s="457" t="s">
        <v>841</v>
      </c>
      <c r="F123" s="457" t="s">
        <v>20</v>
      </c>
      <c r="G123" s="457" t="s">
        <v>25</v>
      </c>
      <c r="H123" s="460" t="s">
        <v>32</v>
      </c>
      <c r="I123" s="460" t="s">
        <v>23</v>
      </c>
      <c r="J123" s="460" t="s">
        <v>34</v>
      </c>
      <c r="K123" s="461" t="s">
        <v>33</v>
      </c>
    </row>
    <row r="124" spans="3:11" ht="15.75">
      <c r="C124" s="454" t="s">
        <v>1505</v>
      </c>
      <c r="D124" s="456" t="s">
        <v>21</v>
      </c>
      <c r="E124" s="457" t="s">
        <v>841</v>
      </c>
      <c r="F124" s="457" t="s">
        <v>20</v>
      </c>
      <c r="G124" s="457" t="s">
        <v>25</v>
      </c>
      <c r="H124" s="460" t="s">
        <v>31</v>
      </c>
      <c r="I124" s="460" t="s">
        <v>23</v>
      </c>
      <c r="J124" s="460" t="s">
        <v>34</v>
      </c>
      <c r="K124" s="461" t="s">
        <v>33</v>
      </c>
    </row>
    <row r="125" spans="3:11" ht="15.75">
      <c r="C125" s="454" t="s">
        <v>1504</v>
      </c>
      <c r="D125" s="456" t="s">
        <v>21</v>
      </c>
      <c r="E125" s="457" t="s">
        <v>32</v>
      </c>
      <c r="F125" s="457" t="s">
        <v>20</v>
      </c>
      <c r="G125" s="457" t="s">
        <v>25</v>
      </c>
      <c r="H125" s="460" t="s">
        <v>31</v>
      </c>
      <c r="I125" s="460" t="s">
        <v>23</v>
      </c>
      <c r="J125" s="460" t="s">
        <v>34</v>
      </c>
      <c r="K125" s="461" t="s">
        <v>33</v>
      </c>
    </row>
    <row r="126" spans="3:11" ht="15.75">
      <c r="C126" s="454" t="s">
        <v>1503</v>
      </c>
      <c r="D126" s="456" t="s">
        <v>21</v>
      </c>
      <c r="E126" s="457" t="s">
        <v>841</v>
      </c>
      <c r="F126" s="457" t="s">
        <v>20</v>
      </c>
      <c r="G126" s="457" t="s">
        <v>25</v>
      </c>
      <c r="H126" s="460" t="s">
        <v>31</v>
      </c>
      <c r="I126" s="460" t="s">
        <v>23</v>
      </c>
      <c r="J126" s="460" t="s">
        <v>34</v>
      </c>
      <c r="K126" s="461" t="s">
        <v>32</v>
      </c>
    </row>
    <row r="127" spans="3:11" ht="15.75">
      <c r="C127" s="454" t="s">
        <v>1502</v>
      </c>
      <c r="D127" s="456" t="s">
        <v>21</v>
      </c>
      <c r="E127" s="457" t="s">
        <v>841</v>
      </c>
      <c r="F127" s="457" t="s">
        <v>20</v>
      </c>
      <c r="G127" s="457" t="s">
        <v>25</v>
      </c>
      <c r="H127" s="460" t="s">
        <v>31</v>
      </c>
      <c r="I127" s="460" t="s">
        <v>23</v>
      </c>
      <c r="J127" s="460" t="s">
        <v>32</v>
      </c>
      <c r="K127" s="461" t="s">
        <v>33</v>
      </c>
    </row>
    <row r="128" spans="3:11" ht="15.75">
      <c r="C128" s="454" t="s">
        <v>1501</v>
      </c>
      <c r="D128" s="456" t="s">
        <v>21</v>
      </c>
      <c r="E128" s="457" t="s">
        <v>272</v>
      </c>
      <c r="F128" s="457" t="s">
        <v>20</v>
      </c>
      <c r="G128" s="457" t="s">
        <v>25</v>
      </c>
      <c r="H128" s="460" t="s">
        <v>841</v>
      </c>
      <c r="I128" s="460" t="s">
        <v>23</v>
      </c>
      <c r="J128" s="460" t="s">
        <v>34</v>
      </c>
      <c r="K128" s="461" t="s">
        <v>33</v>
      </c>
    </row>
    <row r="129" spans="3:11" ht="15.75">
      <c r="C129" s="454" t="s">
        <v>1500</v>
      </c>
      <c r="D129" s="456" t="s">
        <v>21</v>
      </c>
      <c r="E129" s="457" t="s">
        <v>272</v>
      </c>
      <c r="F129" s="457" t="s">
        <v>20</v>
      </c>
      <c r="G129" s="457" t="s">
        <v>25</v>
      </c>
      <c r="H129" s="460" t="s">
        <v>32</v>
      </c>
      <c r="I129" s="460" t="s">
        <v>23</v>
      </c>
      <c r="J129" s="460" t="s">
        <v>34</v>
      </c>
      <c r="K129" s="461" t="s">
        <v>33</v>
      </c>
    </row>
    <row r="130" spans="3:11" ht="15.75">
      <c r="C130" s="454" t="s">
        <v>1499</v>
      </c>
      <c r="D130" s="456" t="s">
        <v>21</v>
      </c>
      <c r="E130" s="457" t="s">
        <v>272</v>
      </c>
      <c r="F130" s="457" t="s">
        <v>20</v>
      </c>
      <c r="G130" s="457" t="s">
        <v>25</v>
      </c>
      <c r="H130" s="460" t="s">
        <v>841</v>
      </c>
      <c r="I130" s="460" t="s">
        <v>23</v>
      </c>
      <c r="J130" s="460" t="s">
        <v>34</v>
      </c>
      <c r="K130" s="461" t="s">
        <v>32</v>
      </c>
    </row>
    <row r="131" spans="3:11" ht="15.75">
      <c r="C131" s="454" t="s">
        <v>1498</v>
      </c>
      <c r="D131" s="456" t="s">
        <v>21</v>
      </c>
      <c r="E131" s="457" t="s">
        <v>272</v>
      </c>
      <c r="F131" s="457" t="s">
        <v>20</v>
      </c>
      <c r="G131" s="457" t="s">
        <v>25</v>
      </c>
      <c r="H131" s="460" t="s">
        <v>841</v>
      </c>
      <c r="I131" s="460" t="s">
        <v>23</v>
      </c>
      <c r="J131" s="460" t="s">
        <v>32</v>
      </c>
      <c r="K131" s="461" t="s">
        <v>33</v>
      </c>
    </row>
    <row r="132" spans="3:11" ht="15.75">
      <c r="C132" s="454" t="s">
        <v>1497</v>
      </c>
      <c r="D132" s="456" t="s">
        <v>21</v>
      </c>
      <c r="E132" s="457" t="s">
        <v>272</v>
      </c>
      <c r="F132" s="457" t="s">
        <v>20</v>
      </c>
      <c r="G132" s="457" t="s">
        <v>25</v>
      </c>
      <c r="H132" s="460" t="s">
        <v>31</v>
      </c>
      <c r="I132" s="460" t="s">
        <v>23</v>
      </c>
      <c r="J132" s="460" t="s">
        <v>34</v>
      </c>
      <c r="K132" s="461" t="s">
        <v>33</v>
      </c>
    </row>
    <row r="133" spans="3:11" ht="15.75">
      <c r="C133" s="454" t="s">
        <v>1496</v>
      </c>
      <c r="D133" s="456" t="s">
        <v>21</v>
      </c>
      <c r="E133" s="457" t="s">
        <v>272</v>
      </c>
      <c r="F133" s="457" t="s">
        <v>20</v>
      </c>
      <c r="G133" s="457" t="s">
        <v>25</v>
      </c>
      <c r="H133" s="460" t="s">
        <v>31</v>
      </c>
      <c r="I133" s="460" t="s">
        <v>23</v>
      </c>
      <c r="J133" s="460" t="s">
        <v>34</v>
      </c>
      <c r="K133" s="461" t="s">
        <v>841</v>
      </c>
    </row>
    <row r="134" spans="3:11" ht="15.75">
      <c r="C134" s="454" t="s">
        <v>1495</v>
      </c>
      <c r="D134" s="456" t="s">
        <v>31</v>
      </c>
      <c r="E134" s="457" t="s">
        <v>272</v>
      </c>
      <c r="F134" s="457" t="s">
        <v>20</v>
      </c>
      <c r="G134" s="457" t="s">
        <v>21</v>
      </c>
      <c r="H134" s="460" t="s">
        <v>841</v>
      </c>
      <c r="I134" s="460" t="s">
        <v>23</v>
      </c>
      <c r="J134" s="460" t="s">
        <v>25</v>
      </c>
      <c r="K134" s="461" t="s">
        <v>33</v>
      </c>
    </row>
    <row r="135" spans="3:11" ht="15.75">
      <c r="C135" s="454" t="s">
        <v>1494</v>
      </c>
      <c r="D135" s="456" t="s">
        <v>21</v>
      </c>
      <c r="E135" s="457" t="s">
        <v>272</v>
      </c>
      <c r="F135" s="457" t="s">
        <v>20</v>
      </c>
      <c r="G135" s="457" t="s">
        <v>25</v>
      </c>
      <c r="H135" s="460" t="s">
        <v>31</v>
      </c>
      <c r="I135" s="460" t="s">
        <v>23</v>
      </c>
      <c r="J135" s="460" t="s">
        <v>34</v>
      </c>
      <c r="K135" s="461" t="s">
        <v>32</v>
      </c>
    </row>
    <row r="136" spans="3:11" ht="15.75">
      <c r="C136" s="454" t="s">
        <v>1493</v>
      </c>
      <c r="D136" s="456" t="s">
        <v>21</v>
      </c>
      <c r="E136" s="457" t="s">
        <v>272</v>
      </c>
      <c r="F136" s="457" t="s">
        <v>20</v>
      </c>
      <c r="G136" s="457" t="s">
        <v>25</v>
      </c>
      <c r="H136" s="460" t="s">
        <v>31</v>
      </c>
      <c r="I136" s="460" t="s">
        <v>23</v>
      </c>
      <c r="J136" s="460" t="s">
        <v>32</v>
      </c>
      <c r="K136" s="461" t="s">
        <v>33</v>
      </c>
    </row>
    <row r="137" spans="3:11" ht="15.75">
      <c r="C137" s="454" t="s">
        <v>1492</v>
      </c>
      <c r="D137" s="456" t="s">
        <v>31</v>
      </c>
      <c r="E137" s="457" t="s">
        <v>272</v>
      </c>
      <c r="F137" s="457" t="s">
        <v>20</v>
      </c>
      <c r="G137" s="457" t="s">
        <v>21</v>
      </c>
      <c r="H137" s="460" t="s">
        <v>841</v>
      </c>
      <c r="I137" s="460" t="s">
        <v>23</v>
      </c>
      <c r="J137" s="460" t="s">
        <v>25</v>
      </c>
      <c r="K137" s="461" t="s">
        <v>32</v>
      </c>
    </row>
    <row r="138" spans="3:11" ht="15.75">
      <c r="C138" s="454" t="s">
        <v>1491</v>
      </c>
      <c r="D138" s="456" t="s">
        <v>22</v>
      </c>
      <c r="E138" s="457" t="s">
        <v>841</v>
      </c>
      <c r="F138" s="457" t="s">
        <v>20</v>
      </c>
      <c r="G138" s="457" t="s">
        <v>21</v>
      </c>
      <c r="H138" s="460" t="s">
        <v>32</v>
      </c>
      <c r="I138" s="460" t="s">
        <v>25</v>
      </c>
      <c r="J138" s="460" t="s">
        <v>34</v>
      </c>
      <c r="K138" s="461" t="s">
        <v>33</v>
      </c>
    </row>
    <row r="139" spans="3:11" ht="15.75">
      <c r="C139" s="454" t="s">
        <v>1490</v>
      </c>
      <c r="D139" s="456" t="s">
        <v>22</v>
      </c>
      <c r="E139" s="457" t="s">
        <v>841</v>
      </c>
      <c r="F139" s="457" t="s">
        <v>20</v>
      </c>
      <c r="G139" s="457" t="s">
        <v>21</v>
      </c>
      <c r="H139" s="460" t="s">
        <v>31</v>
      </c>
      <c r="I139" s="460" t="s">
        <v>25</v>
      </c>
      <c r="J139" s="460" t="s">
        <v>34</v>
      </c>
      <c r="K139" s="461" t="s">
        <v>33</v>
      </c>
    </row>
    <row r="140" spans="3:11" ht="15.75">
      <c r="C140" s="454" t="s">
        <v>1489</v>
      </c>
      <c r="D140" s="456" t="s">
        <v>22</v>
      </c>
      <c r="E140" s="457" t="s">
        <v>32</v>
      </c>
      <c r="F140" s="457" t="s">
        <v>20</v>
      </c>
      <c r="G140" s="457" t="s">
        <v>21</v>
      </c>
      <c r="H140" s="460" t="s">
        <v>31</v>
      </c>
      <c r="I140" s="460" t="s">
        <v>25</v>
      </c>
      <c r="J140" s="460" t="s">
        <v>34</v>
      </c>
      <c r="K140" s="461" t="s">
        <v>33</v>
      </c>
    </row>
    <row r="141" spans="3:11" ht="15.75">
      <c r="C141" s="454" t="s">
        <v>1488</v>
      </c>
      <c r="D141" s="456" t="s">
        <v>22</v>
      </c>
      <c r="E141" s="457" t="s">
        <v>841</v>
      </c>
      <c r="F141" s="457" t="s">
        <v>20</v>
      </c>
      <c r="G141" s="457" t="s">
        <v>21</v>
      </c>
      <c r="H141" s="460" t="s">
        <v>31</v>
      </c>
      <c r="I141" s="460" t="s">
        <v>25</v>
      </c>
      <c r="J141" s="460" t="s">
        <v>34</v>
      </c>
      <c r="K141" s="461" t="s">
        <v>32</v>
      </c>
    </row>
    <row r="142" spans="3:11" ht="15.75">
      <c r="C142" s="454" t="s">
        <v>1487</v>
      </c>
      <c r="D142" s="456" t="s">
        <v>22</v>
      </c>
      <c r="E142" s="457" t="s">
        <v>841</v>
      </c>
      <c r="F142" s="457" t="s">
        <v>20</v>
      </c>
      <c r="G142" s="457" t="s">
        <v>21</v>
      </c>
      <c r="H142" s="460" t="s">
        <v>31</v>
      </c>
      <c r="I142" s="460" t="s">
        <v>25</v>
      </c>
      <c r="J142" s="460" t="s">
        <v>32</v>
      </c>
      <c r="K142" s="461" t="s">
        <v>33</v>
      </c>
    </row>
    <row r="143" spans="3:11" ht="15.75">
      <c r="C143" s="454" t="s">
        <v>1486</v>
      </c>
      <c r="D143" s="456" t="s">
        <v>22</v>
      </c>
      <c r="E143" s="457" t="s">
        <v>272</v>
      </c>
      <c r="F143" s="457" t="s">
        <v>20</v>
      </c>
      <c r="G143" s="457" t="s">
        <v>21</v>
      </c>
      <c r="H143" s="460" t="s">
        <v>841</v>
      </c>
      <c r="I143" s="460" t="s">
        <v>25</v>
      </c>
      <c r="J143" s="460" t="s">
        <v>34</v>
      </c>
      <c r="K143" s="461" t="s">
        <v>33</v>
      </c>
    </row>
    <row r="144" spans="3:11" ht="15.75">
      <c r="C144" s="454" t="s">
        <v>1485</v>
      </c>
      <c r="D144" s="456" t="s">
        <v>22</v>
      </c>
      <c r="E144" s="457" t="s">
        <v>272</v>
      </c>
      <c r="F144" s="457" t="s">
        <v>20</v>
      </c>
      <c r="G144" s="457" t="s">
        <v>21</v>
      </c>
      <c r="H144" s="460" t="s">
        <v>32</v>
      </c>
      <c r="I144" s="460" t="s">
        <v>25</v>
      </c>
      <c r="J144" s="460" t="s">
        <v>34</v>
      </c>
      <c r="K144" s="461" t="s">
        <v>33</v>
      </c>
    </row>
    <row r="145" spans="3:11" ht="15.75">
      <c r="C145" s="454" t="s">
        <v>1484</v>
      </c>
      <c r="D145" s="456" t="s">
        <v>22</v>
      </c>
      <c r="E145" s="457" t="s">
        <v>272</v>
      </c>
      <c r="F145" s="457" t="s">
        <v>20</v>
      </c>
      <c r="G145" s="457" t="s">
        <v>21</v>
      </c>
      <c r="H145" s="460" t="s">
        <v>841</v>
      </c>
      <c r="I145" s="460" t="s">
        <v>25</v>
      </c>
      <c r="J145" s="460" t="s">
        <v>34</v>
      </c>
      <c r="K145" s="461" t="s">
        <v>32</v>
      </c>
    </row>
    <row r="146" spans="3:11" ht="15.75">
      <c r="C146" s="454" t="s">
        <v>1483</v>
      </c>
      <c r="D146" s="456" t="s">
        <v>22</v>
      </c>
      <c r="E146" s="457" t="s">
        <v>272</v>
      </c>
      <c r="F146" s="457" t="s">
        <v>20</v>
      </c>
      <c r="G146" s="457" t="s">
        <v>21</v>
      </c>
      <c r="H146" s="460" t="s">
        <v>841</v>
      </c>
      <c r="I146" s="460" t="s">
        <v>25</v>
      </c>
      <c r="J146" s="460" t="s">
        <v>32</v>
      </c>
      <c r="K146" s="461" t="s">
        <v>33</v>
      </c>
    </row>
    <row r="147" spans="3:11" ht="15.75">
      <c r="C147" s="454" t="s">
        <v>1482</v>
      </c>
      <c r="D147" s="456" t="s">
        <v>22</v>
      </c>
      <c r="E147" s="457" t="s">
        <v>272</v>
      </c>
      <c r="F147" s="457" t="s">
        <v>20</v>
      </c>
      <c r="G147" s="457" t="s">
        <v>21</v>
      </c>
      <c r="H147" s="460" t="s">
        <v>31</v>
      </c>
      <c r="I147" s="460" t="s">
        <v>25</v>
      </c>
      <c r="J147" s="460" t="s">
        <v>34</v>
      </c>
      <c r="K147" s="461" t="s">
        <v>33</v>
      </c>
    </row>
    <row r="148" spans="3:11" ht="15.75">
      <c r="C148" s="454" t="s">
        <v>1481</v>
      </c>
      <c r="D148" s="456" t="s">
        <v>31</v>
      </c>
      <c r="E148" s="457" t="s">
        <v>272</v>
      </c>
      <c r="F148" s="457" t="s">
        <v>20</v>
      </c>
      <c r="G148" s="457" t="s">
        <v>21</v>
      </c>
      <c r="H148" s="460" t="s">
        <v>841</v>
      </c>
      <c r="I148" s="460" t="s">
        <v>25</v>
      </c>
      <c r="J148" s="460" t="s">
        <v>34</v>
      </c>
      <c r="K148" s="461" t="s">
        <v>22</v>
      </c>
    </row>
    <row r="149" spans="3:11" ht="15.75">
      <c r="C149" s="454" t="s">
        <v>1480</v>
      </c>
      <c r="D149" s="456" t="s">
        <v>31</v>
      </c>
      <c r="E149" s="457" t="s">
        <v>272</v>
      </c>
      <c r="F149" s="457" t="s">
        <v>20</v>
      </c>
      <c r="G149" s="457" t="s">
        <v>21</v>
      </c>
      <c r="H149" s="460" t="s">
        <v>841</v>
      </c>
      <c r="I149" s="460" t="s">
        <v>25</v>
      </c>
      <c r="J149" s="460" t="s">
        <v>22</v>
      </c>
      <c r="K149" s="461" t="s">
        <v>33</v>
      </c>
    </row>
    <row r="150" spans="3:11" ht="15.75">
      <c r="C150" s="454" t="s">
        <v>1479</v>
      </c>
      <c r="D150" s="456" t="s">
        <v>22</v>
      </c>
      <c r="E150" s="457" t="s">
        <v>272</v>
      </c>
      <c r="F150" s="457" t="s">
        <v>20</v>
      </c>
      <c r="G150" s="457" t="s">
        <v>21</v>
      </c>
      <c r="H150" s="460" t="s">
        <v>31</v>
      </c>
      <c r="I150" s="460" t="s">
        <v>25</v>
      </c>
      <c r="J150" s="460" t="s">
        <v>34</v>
      </c>
      <c r="K150" s="461" t="s">
        <v>32</v>
      </c>
    </row>
    <row r="151" spans="3:11" ht="15.75">
      <c r="C151" s="454" t="s">
        <v>1478</v>
      </c>
      <c r="D151" s="456" t="s">
        <v>22</v>
      </c>
      <c r="E151" s="457" t="s">
        <v>272</v>
      </c>
      <c r="F151" s="457" t="s">
        <v>20</v>
      </c>
      <c r="G151" s="457" t="s">
        <v>21</v>
      </c>
      <c r="H151" s="460" t="s">
        <v>31</v>
      </c>
      <c r="I151" s="460" t="s">
        <v>25</v>
      </c>
      <c r="J151" s="460" t="s">
        <v>32</v>
      </c>
      <c r="K151" s="461" t="s">
        <v>33</v>
      </c>
    </row>
    <row r="152" spans="3:11" ht="15.75">
      <c r="C152" s="454" t="s">
        <v>1477</v>
      </c>
      <c r="D152" s="456" t="s">
        <v>31</v>
      </c>
      <c r="E152" s="457" t="s">
        <v>272</v>
      </c>
      <c r="F152" s="457" t="s">
        <v>20</v>
      </c>
      <c r="G152" s="457" t="s">
        <v>21</v>
      </c>
      <c r="H152" s="460" t="s">
        <v>841</v>
      </c>
      <c r="I152" s="460" t="s">
        <v>25</v>
      </c>
      <c r="J152" s="460" t="s">
        <v>22</v>
      </c>
      <c r="K152" s="461" t="s">
        <v>32</v>
      </c>
    </row>
    <row r="153" spans="3:11" ht="15.75">
      <c r="C153" s="454" t="s">
        <v>1476</v>
      </c>
      <c r="D153" s="456" t="s">
        <v>21</v>
      </c>
      <c r="E153" s="457" t="s">
        <v>841</v>
      </c>
      <c r="F153" s="457" t="s">
        <v>20</v>
      </c>
      <c r="G153" s="457" t="s">
        <v>25</v>
      </c>
      <c r="H153" s="460" t="s">
        <v>22</v>
      </c>
      <c r="I153" s="460" t="s">
        <v>23</v>
      </c>
      <c r="J153" s="460" t="s">
        <v>34</v>
      </c>
      <c r="K153" s="461" t="s">
        <v>33</v>
      </c>
    </row>
    <row r="154" spans="3:11" ht="15.75">
      <c r="C154" s="454" t="s">
        <v>1475</v>
      </c>
      <c r="D154" s="456" t="s">
        <v>21</v>
      </c>
      <c r="E154" s="457" t="s">
        <v>22</v>
      </c>
      <c r="F154" s="457" t="s">
        <v>20</v>
      </c>
      <c r="G154" s="457" t="s">
        <v>25</v>
      </c>
      <c r="H154" s="460" t="s">
        <v>32</v>
      </c>
      <c r="I154" s="460" t="s">
        <v>23</v>
      </c>
      <c r="J154" s="460" t="s">
        <v>34</v>
      </c>
      <c r="K154" s="461" t="s">
        <v>33</v>
      </c>
    </row>
    <row r="155" spans="3:11" ht="15.75">
      <c r="C155" s="454" t="s">
        <v>1474</v>
      </c>
      <c r="D155" s="456" t="s">
        <v>21</v>
      </c>
      <c r="E155" s="457" t="s">
        <v>841</v>
      </c>
      <c r="F155" s="457" t="s">
        <v>20</v>
      </c>
      <c r="G155" s="457" t="s">
        <v>25</v>
      </c>
      <c r="H155" s="460" t="s">
        <v>22</v>
      </c>
      <c r="I155" s="460" t="s">
        <v>23</v>
      </c>
      <c r="J155" s="460" t="s">
        <v>34</v>
      </c>
      <c r="K155" s="461" t="s">
        <v>32</v>
      </c>
    </row>
    <row r="156" spans="3:11" ht="15.75">
      <c r="C156" s="454" t="s">
        <v>1473</v>
      </c>
      <c r="D156" s="456" t="s">
        <v>21</v>
      </c>
      <c r="E156" s="457" t="s">
        <v>841</v>
      </c>
      <c r="F156" s="457" t="s">
        <v>20</v>
      </c>
      <c r="G156" s="457" t="s">
        <v>25</v>
      </c>
      <c r="H156" s="460" t="s">
        <v>22</v>
      </c>
      <c r="I156" s="460" t="s">
        <v>23</v>
      </c>
      <c r="J156" s="460" t="s">
        <v>32</v>
      </c>
      <c r="K156" s="461" t="s">
        <v>33</v>
      </c>
    </row>
    <row r="157" spans="3:11" ht="15.75">
      <c r="C157" s="454" t="s">
        <v>1472</v>
      </c>
      <c r="D157" s="456" t="s">
        <v>21</v>
      </c>
      <c r="E157" s="457" t="s">
        <v>22</v>
      </c>
      <c r="F157" s="457" t="s">
        <v>20</v>
      </c>
      <c r="G157" s="457" t="s">
        <v>25</v>
      </c>
      <c r="H157" s="460" t="s">
        <v>31</v>
      </c>
      <c r="I157" s="460" t="s">
        <v>23</v>
      </c>
      <c r="J157" s="460" t="s">
        <v>34</v>
      </c>
      <c r="K157" s="461" t="s">
        <v>33</v>
      </c>
    </row>
    <row r="158" spans="3:11" ht="15.75">
      <c r="C158" s="454" t="s">
        <v>1471</v>
      </c>
      <c r="D158" s="456" t="s">
        <v>21</v>
      </c>
      <c r="E158" s="457" t="s">
        <v>841</v>
      </c>
      <c r="F158" s="457" t="s">
        <v>20</v>
      </c>
      <c r="G158" s="457" t="s">
        <v>25</v>
      </c>
      <c r="H158" s="460" t="s">
        <v>31</v>
      </c>
      <c r="I158" s="460" t="s">
        <v>23</v>
      </c>
      <c r="J158" s="460" t="s">
        <v>34</v>
      </c>
      <c r="K158" s="461" t="s">
        <v>22</v>
      </c>
    </row>
    <row r="159" spans="3:11" ht="15.75">
      <c r="C159" s="454" t="s">
        <v>1470</v>
      </c>
      <c r="D159" s="456" t="s">
        <v>21</v>
      </c>
      <c r="E159" s="457" t="s">
        <v>841</v>
      </c>
      <c r="F159" s="457" t="s">
        <v>20</v>
      </c>
      <c r="G159" s="457" t="s">
        <v>25</v>
      </c>
      <c r="H159" s="460" t="s">
        <v>31</v>
      </c>
      <c r="I159" s="460" t="s">
        <v>23</v>
      </c>
      <c r="J159" s="460" t="s">
        <v>22</v>
      </c>
      <c r="K159" s="461" t="s">
        <v>33</v>
      </c>
    </row>
    <row r="160" spans="3:11" ht="15.75">
      <c r="C160" s="454" t="s">
        <v>1469</v>
      </c>
      <c r="D160" s="456" t="s">
        <v>21</v>
      </c>
      <c r="E160" s="457" t="s">
        <v>22</v>
      </c>
      <c r="F160" s="457" t="s">
        <v>20</v>
      </c>
      <c r="G160" s="457" t="s">
        <v>25</v>
      </c>
      <c r="H160" s="460" t="s">
        <v>31</v>
      </c>
      <c r="I160" s="460" t="s">
        <v>23</v>
      </c>
      <c r="J160" s="460" t="s">
        <v>34</v>
      </c>
      <c r="K160" s="461" t="s">
        <v>32</v>
      </c>
    </row>
    <row r="161" spans="3:11" ht="15.75">
      <c r="C161" s="454" t="s">
        <v>1468</v>
      </c>
      <c r="D161" s="456" t="s">
        <v>21</v>
      </c>
      <c r="E161" s="457" t="s">
        <v>22</v>
      </c>
      <c r="F161" s="457" t="s">
        <v>20</v>
      </c>
      <c r="G161" s="457" t="s">
        <v>25</v>
      </c>
      <c r="H161" s="460" t="s">
        <v>31</v>
      </c>
      <c r="I161" s="460" t="s">
        <v>23</v>
      </c>
      <c r="J161" s="460" t="s">
        <v>32</v>
      </c>
      <c r="K161" s="461" t="s">
        <v>33</v>
      </c>
    </row>
    <row r="162" spans="3:11" ht="15.75">
      <c r="C162" s="454" t="s">
        <v>1467</v>
      </c>
      <c r="D162" s="456" t="s">
        <v>21</v>
      </c>
      <c r="E162" s="457" t="s">
        <v>841</v>
      </c>
      <c r="F162" s="457" t="s">
        <v>20</v>
      </c>
      <c r="G162" s="457" t="s">
        <v>25</v>
      </c>
      <c r="H162" s="460" t="s">
        <v>31</v>
      </c>
      <c r="I162" s="460" t="s">
        <v>23</v>
      </c>
      <c r="J162" s="460" t="s">
        <v>22</v>
      </c>
      <c r="K162" s="461" t="s">
        <v>32</v>
      </c>
    </row>
    <row r="163" spans="3:11" ht="15.75">
      <c r="C163" s="454" t="s">
        <v>1466</v>
      </c>
      <c r="D163" s="456" t="s">
        <v>21</v>
      </c>
      <c r="E163" s="457" t="s">
        <v>272</v>
      </c>
      <c r="F163" s="457" t="s">
        <v>20</v>
      </c>
      <c r="G163" s="457" t="s">
        <v>25</v>
      </c>
      <c r="H163" s="460" t="s">
        <v>22</v>
      </c>
      <c r="I163" s="460" t="s">
        <v>23</v>
      </c>
      <c r="J163" s="460" t="s">
        <v>34</v>
      </c>
      <c r="K163" s="461" t="s">
        <v>33</v>
      </c>
    </row>
    <row r="164" spans="3:11" ht="15.75">
      <c r="C164" s="454" t="s">
        <v>1465</v>
      </c>
      <c r="D164" s="456" t="s">
        <v>21</v>
      </c>
      <c r="E164" s="457" t="s">
        <v>272</v>
      </c>
      <c r="F164" s="457" t="s">
        <v>20</v>
      </c>
      <c r="G164" s="457" t="s">
        <v>25</v>
      </c>
      <c r="H164" s="460" t="s">
        <v>841</v>
      </c>
      <c r="I164" s="460" t="s">
        <v>23</v>
      </c>
      <c r="J164" s="460" t="s">
        <v>34</v>
      </c>
      <c r="K164" s="461" t="s">
        <v>22</v>
      </c>
    </row>
    <row r="165" spans="3:11" ht="15.75">
      <c r="C165" s="454" t="s">
        <v>1464</v>
      </c>
      <c r="D165" s="456" t="s">
        <v>21</v>
      </c>
      <c r="E165" s="457" t="s">
        <v>272</v>
      </c>
      <c r="F165" s="457" t="s">
        <v>20</v>
      </c>
      <c r="G165" s="457" t="s">
        <v>25</v>
      </c>
      <c r="H165" s="460" t="s">
        <v>841</v>
      </c>
      <c r="I165" s="460" t="s">
        <v>23</v>
      </c>
      <c r="J165" s="460" t="s">
        <v>22</v>
      </c>
      <c r="K165" s="461" t="s">
        <v>33</v>
      </c>
    </row>
    <row r="166" spans="3:11" ht="15.75">
      <c r="C166" s="454" t="s">
        <v>1463</v>
      </c>
      <c r="D166" s="456" t="s">
        <v>21</v>
      </c>
      <c r="E166" s="457" t="s">
        <v>272</v>
      </c>
      <c r="F166" s="457" t="s">
        <v>20</v>
      </c>
      <c r="G166" s="457" t="s">
        <v>25</v>
      </c>
      <c r="H166" s="460" t="s">
        <v>22</v>
      </c>
      <c r="I166" s="460" t="s">
        <v>23</v>
      </c>
      <c r="J166" s="460" t="s">
        <v>34</v>
      </c>
      <c r="K166" s="461" t="s">
        <v>32</v>
      </c>
    </row>
    <row r="167" spans="3:11" ht="15.75">
      <c r="C167" s="454" t="s">
        <v>1462</v>
      </c>
      <c r="D167" s="456" t="s">
        <v>21</v>
      </c>
      <c r="E167" s="457" t="s">
        <v>272</v>
      </c>
      <c r="F167" s="457" t="s">
        <v>20</v>
      </c>
      <c r="G167" s="457" t="s">
        <v>25</v>
      </c>
      <c r="H167" s="460" t="s">
        <v>22</v>
      </c>
      <c r="I167" s="460" t="s">
        <v>23</v>
      </c>
      <c r="J167" s="460" t="s">
        <v>32</v>
      </c>
      <c r="K167" s="461" t="s">
        <v>33</v>
      </c>
    </row>
    <row r="168" spans="3:11" ht="15.75">
      <c r="C168" s="454" t="s">
        <v>1461</v>
      </c>
      <c r="D168" s="456" t="s">
        <v>21</v>
      </c>
      <c r="E168" s="457" t="s">
        <v>272</v>
      </c>
      <c r="F168" s="457" t="s">
        <v>20</v>
      </c>
      <c r="G168" s="457" t="s">
        <v>25</v>
      </c>
      <c r="H168" s="460" t="s">
        <v>841</v>
      </c>
      <c r="I168" s="460" t="s">
        <v>23</v>
      </c>
      <c r="J168" s="460" t="s">
        <v>22</v>
      </c>
      <c r="K168" s="461" t="s">
        <v>32</v>
      </c>
    </row>
    <row r="169" spans="3:11" ht="15.75">
      <c r="C169" s="454" t="s">
        <v>1460</v>
      </c>
      <c r="D169" s="456" t="s">
        <v>21</v>
      </c>
      <c r="E169" s="457" t="s">
        <v>272</v>
      </c>
      <c r="F169" s="457" t="s">
        <v>20</v>
      </c>
      <c r="G169" s="457" t="s">
        <v>25</v>
      </c>
      <c r="H169" s="460" t="s">
        <v>31</v>
      </c>
      <c r="I169" s="460" t="s">
        <v>23</v>
      </c>
      <c r="J169" s="460" t="s">
        <v>34</v>
      </c>
      <c r="K169" s="461" t="s">
        <v>22</v>
      </c>
    </row>
    <row r="170" spans="3:11" ht="15.75">
      <c r="C170" s="454" t="s">
        <v>1459</v>
      </c>
      <c r="D170" s="456" t="s">
        <v>21</v>
      </c>
      <c r="E170" s="457" t="s">
        <v>272</v>
      </c>
      <c r="F170" s="457" t="s">
        <v>20</v>
      </c>
      <c r="G170" s="457" t="s">
        <v>25</v>
      </c>
      <c r="H170" s="460" t="s">
        <v>31</v>
      </c>
      <c r="I170" s="460" t="s">
        <v>23</v>
      </c>
      <c r="J170" s="460" t="s">
        <v>22</v>
      </c>
      <c r="K170" s="461" t="s">
        <v>33</v>
      </c>
    </row>
    <row r="171" spans="3:11" ht="15.75">
      <c r="C171" s="454" t="s">
        <v>1458</v>
      </c>
      <c r="D171" s="456" t="s">
        <v>31</v>
      </c>
      <c r="E171" s="457" t="s">
        <v>272</v>
      </c>
      <c r="F171" s="457" t="s">
        <v>20</v>
      </c>
      <c r="G171" s="457" t="s">
        <v>21</v>
      </c>
      <c r="H171" s="460" t="s">
        <v>841</v>
      </c>
      <c r="I171" s="460" t="s">
        <v>23</v>
      </c>
      <c r="J171" s="460" t="s">
        <v>25</v>
      </c>
      <c r="K171" s="461" t="s">
        <v>22</v>
      </c>
    </row>
    <row r="172" spans="3:11" ht="15.75">
      <c r="C172" s="454" t="s">
        <v>1457</v>
      </c>
      <c r="D172" s="456" t="s">
        <v>21</v>
      </c>
      <c r="E172" s="457" t="s">
        <v>272</v>
      </c>
      <c r="F172" s="457" t="s">
        <v>20</v>
      </c>
      <c r="G172" s="457" t="s">
        <v>25</v>
      </c>
      <c r="H172" s="460" t="s">
        <v>31</v>
      </c>
      <c r="I172" s="460" t="s">
        <v>23</v>
      </c>
      <c r="J172" s="460" t="s">
        <v>22</v>
      </c>
      <c r="K172" s="461" t="s">
        <v>32</v>
      </c>
    </row>
    <row r="173" spans="3:11" ht="15.75">
      <c r="C173" s="454" t="s">
        <v>1456</v>
      </c>
      <c r="D173" s="456" t="s">
        <v>31</v>
      </c>
      <c r="E173" s="457" t="s">
        <v>841</v>
      </c>
      <c r="F173" s="457" t="s">
        <v>32</v>
      </c>
      <c r="G173" s="457" t="s">
        <v>23</v>
      </c>
      <c r="H173" s="460" t="s">
        <v>24</v>
      </c>
      <c r="I173" s="460" t="s">
        <v>272</v>
      </c>
      <c r="J173" s="460" t="s">
        <v>34</v>
      </c>
      <c r="K173" s="461" t="s">
        <v>33</v>
      </c>
    </row>
    <row r="174" spans="3:11" ht="15.75">
      <c r="C174" s="454" t="s">
        <v>1455</v>
      </c>
      <c r="D174" s="456" t="s">
        <v>22</v>
      </c>
      <c r="E174" s="457" t="s">
        <v>841</v>
      </c>
      <c r="F174" s="457" t="s">
        <v>32</v>
      </c>
      <c r="G174" s="457" t="s">
        <v>24</v>
      </c>
      <c r="H174" s="460" t="s">
        <v>31</v>
      </c>
      <c r="I174" s="460" t="s">
        <v>272</v>
      </c>
      <c r="J174" s="460" t="s">
        <v>34</v>
      </c>
      <c r="K174" s="461" t="s">
        <v>33</v>
      </c>
    </row>
    <row r="175" spans="3:11" ht="15.75">
      <c r="C175" s="454" t="s">
        <v>1454</v>
      </c>
      <c r="D175" s="456" t="s">
        <v>22</v>
      </c>
      <c r="E175" s="457" t="s">
        <v>841</v>
      </c>
      <c r="F175" s="457" t="s">
        <v>32</v>
      </c>
      <c r="G175" s="457" t="s">
        <v>23</v>
      </c>
      <c r="H175" s="460" t="s">
        <v>24</v>
      </c>
      <c r="I175" s="460" t="s">
        <v>31</v>
      </c>
      <c r="J175" s="460" t="s">
        <v>34</v>
      </c>
      <c r="K175" s="461" t="s">
        <v>33</v>
      </c>
    </row>
    <row r="176" spans="3:11" ht="15.75">
      <c r="C176" s="454" t="s">
        <v>1453</v>
      </c>
      <c r="D176" s="456" t="s">
        <v>22</v>
      </c>
      <c r="E176" s="457" t="s">
        <v>841</v>
      </c>
      <c r="F176" s="457" t="s">
        <v>32</v>
      </c>
      <c r="G176" s="457" t="s">
        <v>23</v>
      </c>
      <c r="H176" s="460" t="s">
        <v>24</v>
      </c>
      <c r="I176" s="460" t="s">
        <v>272</v>
      </c>
      <c r="J176" s="460" t="s">
        <v>34</v>
      </c>
      <c r="K176" s="461" t="s">
        <v>33</v>
      </c>
    </row>
    <row r="177" spans="3:11" ht="15.75">
      <c r="C177" s="454" t="s">
        <v>1452</v>
      </c>
      <c r="D177" s="456" t="s">
        <v>22</v>
      </c>
      <c r="E177" s="457" t="s">
        <v>272</v>
      </c>
      <c r="F177" s="457" t="s">
        <v>841</v>
      </c>
      <c r="G177" s="457" t="s">
        <v>23</v>
      </c>
      <c r="H177" s="460" t="s">
        <v>24</v>
      </c>
      <c r="I177" s="460" t="s">
        <v>31</v>
      </c>
      <c r="J177" s="460" t="s">
        <v>34</v>
      </c>
      <c r="K177" s="461" t="s">
        <v>33</v>
      </c>
    </row>
    <row r="178" spans="3:11" ht="15.75">
      <c r="C178" s="454" t="s">
        <v>1451</v>
      </c>
      <c r="D178" s="456" t="s">
        <v>22</v>
      </c>
      <c r="E178" s="457" t="s">
        <v>272</v>
      </c>
      <c r="F178" s="457" t="s">
        <v>32</v>
      </c>
      <c r="G178" s="457" t="s">
        <v>23</v>
      </c>
      <c r="H178" s="460" t="s">
        <v>24</v>
      </c>
      <c r="I178" s="460" t="s">
        <v>31</v>
      </c>
      <c r="J178" s="460" t="s">
        <v>34</v>
      </c>
      <c r="K178" s="461" t="s">
        <v>33</v>
      </c>
    </row>
    <row r="179" spans="3:11" ht="15.75">
      <c r="C179" s="454" t="s">
        <v>1450</v>
      </c>
      <c r="D179" s="456" t="s">
        <v>22</v>
      </c>
      <c r="E179" s="457" t="s">
        <v>272</v>
      </c>
      <c r="F179" s="457" t="s">
        <v>841</v>
      </c>
      <c r="G179" s="457" t="s">
        <v>23</v>
      </c>
      <c r="H179" s="460" t="s">
        <v>24</v>
      </c>
      <c r="I179" s="460" t="s">
        <v>31</v>
      </c>
      <c r="J179" s="460" t="s">
        <v>34</v>
      </c>
      <c r="K179" s="461" t="s">
        <v>32</v>
      </c>
    </row>
    <row r="180" spans="3:11" ht="15.75">
      <c r="C180" s="454" t="s">
        <v>1449</v>
      </c>
      <c r="D180" s="456" t="s">
        <v>22</v>
      </c>
      <c r="E180" s="457" t="s">
        <v>272</v>
      </c>
      <c r="F180" s="457" t="s">
        <v>841</v>
      </c>
      <c r="G180" s="457" t="s">
        <v>23</v>
      </c>
      <c r="H180" s="460" t="s">
        <v>24</v>
      </c>
      <c r="I180" s="460" t="s">
        <v>31</v>
      </c>
      <c r="J180" s="460" t="s">
        <v>32</v>
      </c>
      <c r="K180" s="461" t="s">
        <v>33</v>
      </c>
    </row>
    <row r="181" spans="3:11" ht="15.75">
      <c r="C181" s="454" t="s">
        <v>1448</v>
      </c>
      <c r="D181" s="456" t="s">
        <v>31</v>
      </c>
      <c r="E181" s="457" t="s">
        <v>841</v>
      </c>
      <c r="F181" s="457" t="s">
        <v>32</v>
      </c>
      <c r="G181" s="457" t="s">
        <v>25</v>
      </c>
      <c r="H181" s="460" t="s">
        <v>24</v>
      </c>
      <c r="I181" s="460" t="s">
        <v>272</v>
      </c>
      <c r="J181" s="460" t="s">
        <v>34</v>
      </c>
      <c r="K181" s="461" t="s">
        <v>33</v>
      </c>
    </row>
    <row r="182" spans="3:11" ht="15.75">
      <c r="C182" s="454" t="s">
        <v>1447</v>
      </c>
      <c r="D182" s="456" t="s">
        <v>31</v>
      </c>
      <c r="E182" s="457" t="s">
        <v>841</v>
      </c>
      <c r="F182" s="457" t="s">
        <v>32</v>
      </c>
      <c r="G182" s="457" t="s">
        <v>25</v>
      </c>
      <c r="H182" s="460" t="s">
        <v>24</v>
      </c>
      <c r="I182" s="460" t="s">
        <v>23</v>
      </c>
      <c r="J182" s="460" t="s">
        <v>34</v>
      </c>
      <c r="K182" s="461" t="s">
        <v>33</v>
      </c>
    </row>
    <row r="183" spans="3:11" ht="15.75">
      <c r="C183" s="454" t="s">
        <v>1446</v>
      </c>
      <c r="D183" s="456" t="s">
        <v>32</v>
      </c>
      <c r="E183" s="457" t="s">
        <v>272</v>
      </c>
      <c r="F183" s="457" t="s">
        <v>841</v>
      </c>
      <c r="G183" s="457" t="s">
        <v>25</v>
      </c>
      <c r="H183" s="460" t="s">
        <v>24</v>
      </c>
      <c r="I183" s="460" t="s">
        <v>23</v>
      </c>
      <c r="J183" s="460" t="s">
        <v>34</v>
      </c>
      <c r="K183" s="461" t="s">
        <v>33</v>
      </c>
    </row>
    <row r="184" spans="3:11" ht="15.75">
      <c r="C184" s="454" t="s">
        <v>1445</v>
      </c>
      <c r="D184" s="456" t="s">
        <v>31</v>
      </c>
      <c r="E184" s="457" t="s">
        <v>272</v>
      </c>
      <c r="F184" s="457" t="s">
        <v>841</v>
      </c>
      <c r="G184" s="457" t="s">
        <v>25</v>
      </c>
      <c r="H184" s="460" t="s">
        <v>24</v>
      </c>
      <c r="I184" s="460" t="s">
        <v>23</v>
      </c>
      <c r="J184" s="460" t="s">
        <v>34</v>
      </c>
      <c r="K184" s="461" t="s">
        <v>33</v>
      </c>
    </row>
    <row r="185" spans="3:11" ht="15.75">
      <c r="C185" s="454" t="s">
        <v>1444</v>
      </c>
      <c r="D185" s="456" t="s">
        <v>31</v>
      </c>
      <c r="E185" s="457" t="s">
        <v>272</v>
      </c>
      <c r="F185" s="457" t="s">
        <v>32</v>
      </c>
      <c r="G185" s="457" t="s">
        <v>25</v>
      </c>
      <c r="H185" s="460" t="s">
        <v>24</v>
      </c>
      <c r="I185" s="460" t="s">
        <v>23</v>
      </c>
      <c r="J185" s="460" t="s">
        <v>34</v>
      </c>
      <c r="K185" s="461" t="s">
        <v>33</v>
      </c>
    </row>
    <row r="186" spans="3:11" ht="15.75">
      <c r="C186" s="454" t="s">
        <v>1443</v>
      </c>
      <c r="D186" s="456" t="s">
        <v>31</v>
      </c>
      <c r="E186" s="457" t="s">
        <v>272</v>
      </c>
      <c r="F186" s="457" t="s">
        <v>841</v>
      </c>
      <c r="G186" s="457" t="s">
        <v>25</v>
      </c>
      <c r="H186" s="460" t="s">
        <v>24</v>
      </c>
      <c r="I186" s="460" t="s">
        <v>23</v>
      </c>
      <c r="J186" s="460" t="s">
        <v>34</v>
      </c>
      <c r="K186" s="461" t="s">
        <v>32</v>
      </c>
    </row>
    <row r="187" spans="3:11" ht="15.75">
      <c r="C187" s="454" t="s">
        <v>1442</v>
      </c>
      <c r="D187" s="456" t="s">
        <v>31</v>
      </c>
      <c r="E187" s="457" t="s">
        <v>272</v>
      </c>
      <c r="F187" s="457" t="s">
        <v>841</v>
      </c>
      <c r="G187" s="457" t="s">
        <v>25</v>
      </c>
      <c r="H187" s="460" t="s">
        <v>24</v>
      </c>
      <c r="I187" s="460" t="s">
        <v>23</v>
      </c>
      <c r="J187" s="460" t="s">
        <v>32</v>
      </c>
      <c r="K187" s="461" t="s">
        <v>33</v>
      </c>
    </row>
    <row r="188" spans="3:11" ht="15.75">
      <c r="C188" s="454" t="s">
        <v>1441</v>
      </c>
      <c r="D188" s="456" t="s">
        <v>22</v>
      </c>
      <c r="E188" s="457" t="s">
        <v>841</v>
      </c>
      <c r="F188" s="457" t="s">
        <v>32</v>
      </c>
      <c r="G188" s="457" t="s">
        <v>25</v>
      </c>
      <c r="H188" s="460" t="s">
        <v>24</v>
      </c>
      <c r="I188" s="460" t="s">
        <v>31</v>
      </c>
      <c r="J188" s="460" t="s">
        <v>34</v>
      </c>
      <c r="K188" s="461" t="s">
        <v>33</v>
      </c>
    </row>
    <row r="189" spans="3:11" ht="15.75">
      <c r="C189" s="454" t="s">
        <v>1440</v>
      </c>
      <c r="D189" s="456" t="s">
        <v>22</v>
      </c>
      <c r="E189" s="457" t="s">
        <v>841</v>
      </c>
      <c r="F189" s="457" t="s">
        <v>32</v>
      </c>
      <c r="G189" s="457" t="s">
        <v>25</v>
      </c>
      <c r="H189" s="460" t="s">
        <v>24</v>
      </c>
      <c r="I189" s="460" t="s">
        <v>272</v>
      </c>
      <c r="J189" s="460" t="s">
        <v>34</v>
      </c>
      <c r="K189" s="461" t="s">
        <v>33</v>
      </c>
    </row>
    <row r="190" spans="3:11" ht="15.75">
      <c r="C190" s="454" t="s">
        <v>1439</v>
      </c>
      <c r="D190" s="456" t="s">
        <v>22</v>
      </c>
      <c r="E190" s="457" t="s">
        <v>272</v>
      </c>
      <c r="F190" s="457" t="s">
        <v>841</v>
      </c>
      <c r="G190" s="457" t="s">
        <v>25</v>
      </c>
      <c r="H190" s="460" t="s">
        <v>24</v>
      </c>
      <c r="I190" s="460" t="s">
        <v>31</v>
      </c>
      <c r="J190" s="460" t="s">
        <v>34</v>
      </c>
      <c r="K190" s="461" t="s">
        <v>33</v>
      </c>
    </row>
    <row r="191" spans="3:11" ht="15.75">
      <c r="C191" s="454" t="s">
        <v>1438</v>
      </c>
      <c r="D191" s="456" t="s">
        <v>22</v>
      </c>
      <c r="E191" s="457" t="s">
        <v>272</v>
      </c>
      <c r="F191" s="457" t="s">
        <v>32</v>
      </c>
      <c r="G191" s="457" t="s">
        <v>25</v>
      </c>
      <c r="H191" s="460" t="s">
        <v>24</v>
      </c>
      <c r="I191" s="460" t="s">
        <v>31</v>
      </c>
      <c r="J191" s="460" t="s">
        <v>34</v>
      </c>
      <c r="K191" s="461" t="s">
        <v>33</v>
      </c>
    </row>
    <row r="192" spans="3:11" ht="15.75">
      <c r="C192" s="454" t="s">
        <v>1437</v>
      </c>
      <c r="D192" s="456" t="s">
        <v>22</v>
      </c>
      <c r="E192" s="457" t="s">
        <v>272</v>
      </c>
      <c r="F192" s="457" t="s">
        <v>841</v>
      </c>
      <c r="G192" s="457" t="s">
        <v>25</v>
      </c>
      <c r="H192" s="460" t="s">
        <v>24</v>
      </c>
      <c r="I192" s="460" t="s">
        <v>31</v>
      </c>
      <c r="J192" s="460" t="s">
        <v>34</v>
      </c>
      <c r="K192" s="461" t="s">
        <v>32</v>
      </c>
    </row>
    <row r="193" spans="3:11" ht="15.75">
      <c r="C193" s="454" t="s">
        <v>1436</v>
      </c>
      <c r="D193" s="456" t="s">
        <v>22</v>
      </c>
      <c r="E193" s="457" t="s">
        <v>272</v>
      </c>
      <c r="F193" s="457" t="s">
        <v>841</v>
      </c>
      <c r="G193" s="457" t="s">
        <v>25</v>
      </c>
      <c r="H193" s="460" t="s">
        <v>24</v>
      </c>
      <c r="I193" s="460" t="s">
        <v>31</v>
      </c>
      <c r="J193" s="460" t="s">
        <v>32</v>
      </c>
      <c r="K193" s="461" t="s">
        <v>33</v>
      </c>
    </row>
    <row r="194" spans="3:11" ht="15.75">
      <c r="C194" s="454" t="s">
        <v>1435</v>
      </c>
      <c r="D194" s="456" t="s">
        <v>22</v>
      </c>
      <c r="E194" s="457" t="s">
        <v>841</v>
      </c>
      <c r="F194" s="457" t="s">
        <v>32</v>
      </c>
      <c r="G194" s="457" t="s">
        <v>25</v>
      </c>
      <c r="H194" s="460" t="s">
        <v>24</v>
      </c>
      <c r="I194" s="460" t="s">
        <v>23</v>
      </c>
      <c r="J194" s="460" t="s">
        <v>34</v>
      </c>
      <c r="K194" s="461" t="s">
        <v>33</v>
      </c>
    </row>
    <row r="195" spans="3:11" ht="15.75">
      <c r="C195" s="454" t="s">
        <v>1434</v>
      </c>
      <c r="D195" s="456" t="s">
        <v>31</v>
      </c>
      <c r="E195" s="457" t="s">
        <v>841</v>
      </c>
      <c r="F195" s="457" t="s">
        <v>22</v>
      </c>
      <c r="G195" s="457" t="s">
        <v>25</v>
      </c>
      <c r="H195" s="460" t="s">
        <v>24</v>
      </c>
      <c r="I195" s="460" t="s">
        <v>23</v>
      </c>
      <c r="J195" s="460" t="s">
        <v>34</v>
      </c>
      <c r="K195" s="461" t="s">
        <v>33</v>
      </c>
    </row>
    <row r="196" spans="3:11" ht="15.75">
      <c r="C196" s="454" t="s">
        <v>1433</v>
      </c>
      <c r="D196" s="456" t="s">
        <v>31</v>
      </c>
      <c r="E196" s="457" t="s">
        <v>22</v>
      </c>
      <c r="F196" s="457" t="s">
        <v>32</v>
      </c>
      <c r="G196" s="457" t="s">
        <v>25</v>
      </c>
      <c r="H196" s="460" t="s">
        <v>24</v>
      </c>
      <c r="I196" s="460" t="s">
        <v>23</v>
      </c>
      <c r="J196" s="460" t="s">
        <v>34</v>
      </c>
      <c r="K196" s="461" t="s">
        <v>33</v>
      </c>
    </row>
    <row r="197" spans="3:11" ht="15.75">
      <c r="C197" s="454" t="s">
        <v>1432</v>
      </c>
      <c r="D197" s="456" t="s">
        <v>31</v>
      </c>
      <c r="E197" s="457" t="s">
        <v>841</v>
      </c>
      <c r="F197" s="457" t="s">
        <v>22</v>
      </c>
      <c r="G197" s="457" t="s">
        <v>25</v>
      </c>
      <c r="H197" s="460" t="s">
        <v>24</v>
      </c>
      <c r="I197" s="460" t="s">
        <v>23</v>
      </c>
      <c r="J197" s="460" t="s">
        <v>34</v>
      </c>
      <c r="K197" s="461" t="s">
        <v>32</v>
      </c>
    </row>
    <row r="198" spans="3:11" ht="15.75">
      <c r="C198" s="454" t="s">
        <v>1431</v>
      </c>
      <c r="D198" s="456" t="s">
        <v>31</v>
      </c>
      <c r="E198" s="457" t="s">
        <v>841</v>
      </c>
      <c r="F198" s="457" t="s">
        <v>22</v>
      </c>
      <c r="G198" s="457" t="s">
        <v>25</v>
      </c>
      <c r="H198" s="460" t="s">
        <v>24</v>
      </c>
      <c r="I198" s="460" t="s">
        <v>23</v>
      </c>
      <c r="J198" s="460" t="s">
        <v>32</v>
      </c>
      <c r="K198" s="461" t="s">
        <v>33</v>
      </c>
    </row>
    <row r="199" spans="3:11" ht="15.75">
      <c r="C199" s="454" t="s">
        <v>1430</v>
      </c>
      <c r="D199" s="456" t="s">
        <v>22</v>
      </c>
      <c r="E199" s="457" t="s">
        <v>272</v>
      </c>
      <c r="F199" s="457" t="s">
        <v>841</v>
      </c>
      <c r="G199" s="457" t="s">
        <v>25</v>
      </c>
      <c r="H199" s="460" t="s">
        <v>24</v>
      </c>
      <c r="I199" s="460" t="s">
        <v>23</v>
      </c>
      <c r="J199" s="460" t="s">
        <v>34</v>
      </c>
      <c r="K199" s="461" t="s">
        <v>33</v>
      </c>
    </row>
    <row r="200" spans="3:11" ht="15.75">
      <c r="C200" s="454" t="s">
        <v>1429</v>
      </c>
      <c r="D200" s="456" t="s">
        <v>22</v>
      </c>
      <c r="E200" s="457" t="s">
        <v>272</v>
      </c>
      <c r="F200" s="457" t="s">
        <v>32</v>
      </c>
      <c r="G200" s="457" t="s">
        <v>25</v>
      </c>
      <c r="H200" s="460" t="s">
        <v>24</v>
      </c>
      <c r="I200" s="460" t="s">
        <v>23</v>
      </c>
      <c r="J200" s="460" t="s">
        <v>34</v>
      </c>
      <c r="K200" s="461" t="s">
        <v>33</v>
      </c>
    </row>
    <row r="201" spans="3:11" ht="15.75">
      <c r="C201" s="454" t="s">
        <v>1428</v>
      </c>
      <c r="D201" s="456" t="s">
        <v>22</v>
      </c>
      <c r="E201" s="457" t="s">
        <v>272</v>
      </c>
      <c r="F201" s="457" t="s">
        <v>841</v>
      </c>
      <c r="G201" s="457" t="s">
        <v>25</v>
      </c>
      <c r="H201" s="460" t="s">
        <v>24</v>
      </c>
      <c r="I201" s="460" t="s">
        <v>23</v>
      </c>
      <c r="J201" s="460" t="s">
        <v>34</v>
      </c>
      <c r="K201" s="461" t="s">
        <v>32</v>
      </c>
    </row>
    <row r="202" spans="3:11" ht="15.75">
      <c r="C202" s="454" t="s">
        <v>1427</v>
      </c>
      <c r="D202" s="456" t="s">
        <v>22</v>
      </c>
      <c r="E202" s="457" t="s">
        <v>272</v>
      </c>
      <c r="F202" s="457" t="s">
        <v>841</v>
      </c>
      <c r="G202" s="457" t="s">
        <v>25</v>
      </c>
      <c r="H202" s="460" t="s">
        <v>24</v>
      </c>
      <c r="I202" s="460" t="s">
        <v>23</v>
      </c>
      <c r="J202" s="460" t="s">
        <v>32</v>
      </c>
      <c r="K202" s="461" t="s">
        <v>33</v>
      </c>
    </row>
    <row r="203" spans="3:11" ht="15.75">
      <c r="C203" s="454" t="s">
        <v>1426</v>
      </c>
      <c r="D203" s="456" t="s">
        <v>31</v>
      </c>
      <c r="E203" s="457" t="s">
        <v>272</v>
      </c>
      <c r="F203" s="457" t="s">
        <v>22</v>
      </c>
      <c r="G203" s="457" t="s">
        <v>25</v>
      </c>
      <c r="H203" s="460" t="s">
        <v>24</v>
      </c>
      <c r="I203" s="460" t="s">
        <v>23</v>
      </c>
      <c r="J203" s="460" t="s">
        <v>34</v>
      </c>
      <c r="K203" s="461" t="s">
        <v>33</v>
      </c>
    </row>
    <row r="204" spans="3:11" ht="15.75">
      <c r="C204" s="454" t="s">
        <v>1425</v>
      </c>
      <c r="D204" s="456" t="s">
        <v>31</v>
      </c>
      <c r="E204" s="457" t="s">
        <v>272</v>
      </c>
      <c r="F204" s="457" t="s">
        <v>841</v>
      </c>
      <c r="G204" s="457" t="s">
        <v>25</v>
      </c>
      <c r="H204" s="460" t="s">
        <v>24</v>
      </c>
      <c r="I204" s="460" t="s">
        <v>23</v>
      </c>
      <c r="J204" s="460" t="s">
        <v>34</v>
      </c>
      <c r="K204" s="461" t="s">
        <v>22</v>
      </c>
    </row>
    <row r="205" spans="3:11" ht="15.75">
      <c r="C205" s="454" t="s">
        <v>1424</v>
      </c>
      <c r="D205" s="456" t="s">
        <v>31</v>
      </c>
      <c r="E205" s="457" t="s">
        <v>272</v>
      </c>
      <c r="F205" s="457" t="s">
        <v>841</v>
      </c>
      <c r="G205" s="457" t="s">
        <v>25</v>
      </c>
      <c r="H205" s="460" t="s">
        <v>24</v>
      </c>
      <c r="I205" s="460" t="s">
        <v>23</v>
      </c>
      <c r="J205" s="460" t="s">
        <v>22</v>
      </c>
      <c r="K205" s="461" t="s">
        <v>33</v>
      </c>
    </row>
    <row r="206" spans="3:11" ht="15.75">
      <c r="C206" s="454" t="s">
        <v>1423</v>
      </c>
      <c r="D206" s="456" t="s">
        <v>31</v>
      </c>
      <c r="E206" s="457" t="s">
        <v>272</v>
      </c>
      <c r="F206" s="457" t="s">
        <v>22</v>
      </c>
      <c r="G206" s="457" t="s">
        <v>25</v>
      </c>
      <c r="H206" s="460" t="s">
        <v>24</v>
      </c>
      <c r="I206" s="460" t="s">
        <v>23</v>
      </c>
      <c r="J206" s="460" t="s">
        <v>34</v>
      </c>
      <c r="K206" s="461" t="s">
        <v>32</v>
      </c>
    </row>
    <row r="207" spans="3:11" ht="15.75">
      <c r="C207" s="454" t="s">
        <v>1422</v>
      </c>
      <c r="D207" s="456" t="s">
        <v>31</v>
      </c>
      <c r="E207" s="457" t="s">
        <v>272</v>
      </c>
      <c r="F207" s="457" t="s">
        <v>22</v>
      </c>
      <c r="G207" s="457" t="s">
        <v>25</v>
      </c>
      <c r="H207" s="460" t="s">
        <v>24</v>
      </c>
      <c r="I207" s="460" t="s">
        <v>23</v>
      </c>
      <c r="J207" s="460" t="s">
        <v>32</v>
      </c>
      <c r="K207" s="461" t="s">
        <v>33</v>
      </c>
    </row>
    <row r="208" spans="3:11" ht="15.75">
      <c r="C208" s="454" t="s">
        <v>1421</v>
      </c>
      <c r="D208" s="456" t="s">
        <v>31</v>
      </c>
      <c r="E208" s="457" t="s">
        <v>272</v>
      </c>
      <c r="F208" s="457" t="s">
        <v>841</v>
      </c>
      <c r="G208" s="457" t="s">
        <v>25</v>
      </c>
      <c r="H208" s="460" t="s">
        <v>24</v>
      </c>
      <c r="I208" s="460" t="s">
        <v>23</v>
      </c>
      <c r="J208" s="460" t="s">
        <v>22</v>
      </c>
      <c r="K208" s="461" t="s">
        <v>32</v>
      </c>
    </row>
    <row r="209" spans="3:11" ht="15.75">
      <c r="C209" s="454" t="s">
        <v>1420</v>
      </c>
      <c r="D209" s="456" t="s">
        <v>31</v>
      </c>
      <c r="E209" s="457" t="s">
        <v>841</v>
      </c>
      <c r="F209" s="457" t="s">
        <v>32</v>
      </c>
      <c r="G209" s="457" t="s">
        <v>21</v>
      </c>
      <c r="H209" s="460" t="s">
        <v>24</v>
      </c>
      <c r="I209" s="460" t="s">
        <v>272</v>
      </c>
      <c r="J209" s="460" t="s">
        <v>34</v>
      </c>
      <c r="K209" s="461" t="s">
        <v>33</v>
      </c>
    </row>
    <row r="210" spans="3:11" ht="15.75">
      <c r="C210" s="454" t="s">
        <v>1419</v>
      </c>
      <c r="D210" s="456" t="s">
        <v>31</v>
      </c>
      <c r="E210" s="457" t="s">
        <v>841</v>
      </c>
      <c r="F210" s="457" t="s">
        <v>32</v>
      </c>
      <c r="G210" s="457" t="s">
        <v>21</v>
      </c>
      <c r="H210" s="460" t="s">
        <v>24</v>
      </c>
      <c r="I210" s="460" t="s">
        <v>23</v>
      </c>
      <c r="J210" s="460" t="s">
        <v>34</v>
      </c>
      <c r="K210" s="461" t="s">
        <v>33</v>
      </c>
    </row>
    <row r="211" spans="3:11" ht="15.75">
      <c r="C211" s="454" t="s">
        <v>1418</v>
      </c>
      <c r="D211" s="456" t="s">
        <v>32</v>
      </c>
      <c r="E211" s="457" t="s">
        <v>272</v>
      </c>
      <c r="F211" s="457" t="s">
        <v>841</v>
      </c>
      <c r="G211" s="457" t="s">
        <v>21</v>
      </c>
      <c r="H211" s="460" t="s">
        <v>24</v>
      </c>
      <c r="I211" s="460" t="s">
        <v>23</v>
      </c>
      <c r="J211" s="460" t="s">
        <v>34</v>
      </c>
      <c r="K211" s="461" t="s">
        <v>33</v>
      </c>
    </row>
    <row r="212" spans="3:11" ht="15.75">
      <c r="C212" s="454" t="s">
        <v>1417</v>
      </c>
      <c r="D212" s="456" t="s">
        <v>31</v>
      </c>
      <c r="E212" s="457" t="s">
        <v>272</v>
      </c>
      <c r="F212" s="457" t="s">
        <v>841</v>
      </c>
      <c r="G212" s="457" t="s">
        <v>21</v>
      </c>
      <c r="H212" s="460" t="s">
        <v>24</v>
      </c>
      <c r="I212" s="460" t="s">
        <v>23</v>
      </c>
      <c r="J212" s="460" t="s">
        <v>34</v>
      </c>
      <c r="K212" s="461" t="s">
        <v>33</v>
      </c>
    </row>
    <row r="213" spans="3:11" ht="15.75">
      <c r="C213" s="454" t="s">
        <v>1416</v>
      </c>
      <c r="D213" s="456" t="s">
        <v>31</v>
      </c>
      <c r="E213" s="457" t="s">
        <v>272</v>
      </c>
      <c r="F213" s="457" t="s">
        <v>32</v>
      </c>
      <c r="G213" s="457" t="s">
        <v>21</v>
      </c>
      <c r="H213" s="460" t="s">
        <v>24</v>
      </c>
      <c r="I213" s="460" t="s">
        <v>23</v>
      </c>
      <c r="J213" s="460" t="s">
        <v>34</v>
      </c>
      <c r="K213" s="461" t="s">
        <v>33</v>
      </c>
    </row>
    <row r="214" spans="3:11" ht="15.75">
      <c r="C214" s="454" t="s">
        <v>1415</v>
      </c>
      <c r="D214" s="456" t="s">
        <v>31</v>
      </c>
      <c r="E214" s="457" t="s">
        <v>272</v>
      </c>
      <c r="F214" s="457" t="s">
        <v>841</v>
      </c>
      <c r="G214" s="457" t="s">
        <v>21</v>
      </c>
      <c r="H214" s="460" t="s">
        <v>24</v>
      </c>
      <c r="I214" s="460" t="s">
        <v>23</v>
      </c>
      <c r="J214" s="460" t="s">
        <v>34</v>
      </c>
      <c r="K214" s="461" t="s">
        <v>32</v>
      </c>
    </row>
    <row r="215" spans="3:11" ht="15.75">
      <c r="C215" s="454" t="s">
        <v>1414</v>
      </c>
      <c r="D215" s="456" t="s">
        <v>31</v>
      </c>
      <c r="E215" s="457" t="s">
        <v>272</v>
      </c>
      <c r="F215" s="457" t="s">
        <v>841</v>
      </c>
      <c r="G215" s="457" t="s">
        <v>21</v>
      </c>
      <c r="H215" s="460" t="s">
        <v>24</v>
      </c>
      <c r="I215" s="460" t="s">
        <v>23</v>
      </c>
      <c r="J215" s="460" t="s">
        <v>32</v>
      </c>
      <c r="K215" s="461" t="s">
        <v>33</v>
      </c>
    </row>
    <row r="216" spans="3:11" ht="15.75">
      <c r="C216" s="454" t="s">
        <v>1413</v>
      </c>
      <c r="D216" s="456" t="s">
        <v>22</v>
      </c>
      <c r="E216" s="457" t="s">
        <v>841</v>
      </c>
      <c r="F216" s="457" t="s">
        <v>32</v>
      </c>
      <c r="G216" s="457" t="s">
        <v>21</v>
      </c>
      <c r="H216" s="460" t="s">
        <v>24</v>
      </c>
      <c r="I216" s="460" t="s">
        <v>31</v>
      </c>
      <c r="J216" s="460" t="s">
        <v>34</v>
      </c>
      <c r="K216" s="461" t="s">
        <v>33</v>
      </c>
    </row>
    <row r="217" spans="3:11" ht="15.75">
      <c r="C217" s="454" t="s">
        <v>1412</v>
      </c>
      <c r="D217" s="456" t="s">
        <v>22</v>
      </c>
      <c r="E217" s="457" t="s">
        <v>841</v>
      </c>
      <c r="F217" s="457" t="s">
        <v>32</v>
      </c>
      <c r="G217" s="457" t="s">
        <v>21</v>
      </c>
      <c r="H217" s="460" t="s">
        <v>24</v>
      </c>
      <c r="I217" s="460" t="s">
        <v>272</v>
      </c>
      <c r="J217" s="460" t="s">
        <v>34</v>
      </c>
      <c r="K217" s="461" t="s">
        <v>33</v>
      </c>
    </row>
    <row r="218" spans="3:11" ht="15.75">
      <c r="C218" s="454" t="s">
        <v>1411</v>
      </c>
      <c r="D218" s="456" t="s">
        <v>22</v>
      </c>
      <c r="E218" s="457" t="s">
        <v>272</v>
      </c>
      <c r="F218" s="457" t="s">
        <v>841</v>
      </c>
      <c r="G218" s="457" t="s">
        <v>21</v>
      </c>
      <c r="H218" s="460" t="s">
        <v>24</v>
      </c>
      <c r="I218" s="460" t="s">
        <v>31</v>
      </c>
      <c r="J218" s="460" t="s">
        <v>34</v>
      </c>
      <c r="K218" s="461" t="s">
        <v>33</v>
      </c>
    </row>
    <row r="219" spans="3:11" ht="15.75">
      <c r="C219" s="454" t="s">
        <v>1410</v>
      </c>
      <c r="D219" s="456" t="s">
        <v>22</v>
      </c>
      <c r="E219" s="457" t="s">
        <v>272</v>
      </c>
      <c r="F219" s="457" t="s">
        <v>32</v>
      </c>
      <c r="G219" s="457" t="s">
        <v>21</v>
      </c>
      <c r="H219" s="460" t="s">
        <v>24</v>
      </c>
      <c r="I219" s="460" t="s">
        <v>31</v>
      </c>
      <c r="J219" s="460" t="s">
        <v>34</v>
      </c>
      <c r="K219" s="461" t="s">
        <v>33</v>
      </c>
    </row>
    <row r="220" spans="3:11" ht="15.75">
      <c r="C220" s="454" t="s">
        <v>1409</v>
      </c>
      <c r="D220" s="456" t="s">
        <v>22</v>
      </c>
      <c r="E220" s="457" t="s">
        <v>272</v>
      </c>
      <c r="F220" s="457" t="s">
        <v>841</v>
      </c>
      <c r="G220" s="457" t="s">
        <v>21</v>
      </c>
      <c r="H220" s="460" t="s">
        <v>24</v>
      </c>
      <c r="I220" s="460" t="s">
        <v>31</v>
      </c>
      <c r="J220" s="460" t="s">
        <v>34</v>
      </c>
      <c r="K220" s="461" t="s">
        <v>32</v>
      </c>
    </row>
    <row r="221" spans="3:11" ht="15.75">
      <c r="C221" s="454" t="s">
        <v>1408</v>
      </c>
      <c r="D221" s="456" t="s">
        <v>22</v>
      </c>
      <c r="E221" s="457" t="s">
        <v>272</v>
      </c>
      <c r="F221" s="457" t="s">
        <v>841</v>
      </c>
      <c r="G221" s="457" t="s">
        <v>21</v>
      </c>
      <c r="H221" s="460" t="s">
        <v>24</v>
      </c>
      <c r="I221" s="460" t="s">
        <v>31</v>
      </c>
      <c r="J221" s="460" t="s">
        <v>32</v>
      </c>
      <c r="K221" s="461" t="s">
        <v>33</v>
      </c>
    </row>
    <row r="222" spans="3:11" ht="15.75">
      <c r="C222" s="454" t="s">
        <v>1407</v>
      </c>
      <c r="D222" s="456" t="s">
        <v>22</v>
      </c>
      <c r="E222" s="457" t="s">
        <v>841</v>
      </c>
      <c r="F222" s="457" t="s">
        <v>32</v>
      </c>
      <c r="G222" s="457" t="s">
        <v>21</v>
      </c>
      <c r="H222" s="460" t="s">
        <v>24</v>
      </c>
      <c r="I222" s="460" t="s">
        <v>23</v>
      </c>
      <c r="J222" s="460" t="s">
        <v>34</v>
      </c>
      <c r="K222" s="461" t="s">
        <v>33</v>
      </c>
    </row>
    <row r="223" spans="3:11" ht="15.75">
      <c r="C223" s="454" t="s">
        <v>1406</v>
      </c>
      <c r="D223" s="456" t="s">
        <v>31</v>
      </c>
      <c r="E223" s="457" t="s">
        <v>841</v>
      </c>
      <c r="F223" s="457" t="s">
        <v>22</v>
      </c>
      <c r="G223" s="457" t="s">
        <v>21</v>
      </c>
      <c r="H223" s="460" t="s">
        <v>24</v>
      </c>
      <c r="I223" s="460" t="s">
        <v>23</v>
      </c>
      <c r="J223" s="460" t="s">
        <v>34</v>
      </c>
      <c r="K223" s="461" t="s">
        <v>33</v>
      </c>
    </row>
    <row r="224" spans="3:11" ht="15.75">
      <c r="C224" s="454" t="s">
        <v>1405</v>
      </c>
      <c r="D224" s="456" t="s">
        <v>31</v>
      </c>
      <c r="E224" s="457" t="s">
        <v>22</v>
      </c>
      <c r="F224" s="457" t="s">
        <v>32</v>
      </c>
      <c r="G224" s="457" t="s">
        <v>21</v>
      </c>
      <c r="H224" s="460" t="s">
        <v>24</v>
      </c>
      <c r="I224" s="460" t="s">
        <v>23</v>
      </c>
      <c r="J224" s="460" t="s">
        <v>34</v>
      </c>
      <c r="K224" s="461" t="s">
        <v>33</v>
      </c>
    </row>
    <row r="225" spans="3:11" ht="15.75">
      <c r="C225" s="454" t="s">
        <v>1404</v>
      </c>
      <c r="D225" s="456" t="s">
        <v>31</v>
      </c>
      <c r="E225" s="457" t="s">
        <v>841</v>
      </c>
      <c r="F225" s="457" t="s">
        <v>22</v>
      </c>
      <c r="G225" s="457" t="s">
        <v>21</v>
      </c>
      <c r="H225" s="460" t="s">
        <v>24</v>
      </c>
      <c r="I225" s="460" t="s">
        <v>23</v>
      </c>
      <c r="J225" s="460" t="s">
        <v>34</v>
      </c>
      <c r="K225" s="461" t="s">
        <v>32</v>
      </c>
    </row>
    <row r="226" spans="3:11" ht="15.75">
      <c r="C226" s="454" t="s">
        <v>1403</v>
      </c>
      <c r="D226" s="456" t="s">
        <v>31</v>
      </c>
      <c r="E226" s="457" t="s">
        <v>841</v>
      </c>
      <c r="F226" s="457" t="s">
        <v>22</v>
      </c>
      <c r="G226" s="457" t="s">
        <v>21</v>
      </c>
      <c r="H226" s="460" t="s">
        <v>24</v>
      </c>
      <c r="I226" s="460" t="s">
        <v>23</v>
      </c>
      <c r="J226" s="460" t="s">
        <v>32</v>
      </c>
      <c r="K226" s="461" t="s">
        <v>33</v>
      </c>
    </row>
    <row r="227" spans="3:11" ht="15.75">
      <c r="C227" s="454" t="s">
        <v>1402</v>
      </c>
      <c r="D227" s="456" t="s">
        <v>22</v>
      </c>
      <c r="E227" s="457" t="s">
        <v>272</v>
      </c>
      <c r="F227" s="457" t="s">
        <v>841</v>
      </c>
      <c r="G227" s="457" t="s">
        <v>21</v>
      </c>
      <c r="H227" s="460" t="s">
        <v>24</v>
      </c>
      <c r="I227" s="460" t="s">
        <v>23</v>
      </c>
      <c r="J227" s="460" t="s">
        <v>34</v>
      </c>
      <c r="K227" s="461" t="s">
        <v>33</v>
      </c>
    </row>
    <row r="228" spans="3:11" ht="15.75">
      <c r="C228" s="454" t="s">
        <v>1401</v>
      </c>
      <c r="D228" s="456" t="s">
        <v>22</v>
      </c>
      <c r="E228" s="457" t="s">
        <v>272</v>
      </c>
      <c r="F228" s="457" t="s">
        <v>32</v>
      </c>
      <c r="G228" s="457" t="s">
        <v>21</v>
      </c>
      <c r="H228" s="460" t="s">
        <v>24</v>
      </c>
      <c r="I228" s="460" t="s">
        <v>23</v>
      </c>
      <c r="J228" s="460" t="s">
        <v>34</v>
      </c>
      <c r="K228" s="461" t="s">
        <v>33</v>
      </c>
    </row>
    <row r="229" spans="3:11" ht="15.75">
      <c r="C229" s="454" t="s">
        <v>1400</v>
      </c>
      <c r="D229" s="456" t="s">
        <v>22</v>
      </c>
      <c r="E229" s="457" t="s">
        <v>272</v>
      </c>
      <c r="F229" s="457" t="s">
        <v>841</v>
      </c>
      <c r="G229" s="457" t="s">
        <v>21</v>
      </c>
      <c r="H229" s="460" t="s">
        <v>24</v>
      </c>
      <c r="I229" s="460" t="s">
        <v>23</v>
      </c>
      <c r="J229" s="460" t="s">
        <v>34</v>
      </c>
      <c r="K229" s="461" t="s">
        <v>32</v>
      </c>
    </row>
    <row r="230" spans="3:11" ht="15.75">
      <c r="C230" s="454" t="s">
        <v>1399</v>
      </c>
      <c r="D230" s="456" t="s">
        <v>22</v>
      </c>
      <c r="E230" s="457" t="s">
        <v>272</v>
      </c>
      <c r="F230" s="457" t="s">
        <v>841</v>
      </c>
      <c r="G230" s="457" t="s">
        <v>21</v>
      </c>
      <c r="H230" s="460" t="s">
        <v>24</v>
      </c>
      <c r="I230" s="460" t="s">
        <v>23</v>
      </c>
      <c r="J230" s="460" t="s">
        <v>32</v>
      </c>
      <c r="K230" s="461" t="s">
        <v>33</v>
      </c>
    </row>
    <row r="231" spans="3:11" ht="15.75">
      <c r="C231" s="454" t="s">
        <v>1398</v>
      </c>
      <c r="D231" s="456" t="s">
        <v>31</v>
      </c>
      <c r="E231" s="457" t="s">
        <v>272</v>
      </c>
      <c r="F231" s="457" t="s">
        <v>22</v>
      </c>
      <c r="G231" s="457" t="s">
        <v>21</v>
      </c>
      <c r="H231" s="460" t="s">
        <v>24</v>
      </c>
      <c r="I231" s="460" t="s">
        <v>23</v>
      </c>
      <c r="J231" s="460" t="s">
        <v>34</v>
      </c>
      <c r="K231" s="461" t="s">
        <v>33</v>
      </c>
    </row>
    <row r="232" spans="3:11" ht="15.75">
      <c r="C232" s="454" t="s">
        <v>1397</v>
      </c>
      <c r="D232" s="456" t="s">
        <v>31</v>
      </c>
      <c r="E232" s="457" t="s">
        <v>272</v>
      </c>
      <c r="F232" s="457" t="s">
        <v>841</v>
      </c>
      <c r="G232" s="457" t="s">
        <v>21</v>
      </c>
      <c r="H232" s="460" t="s">
        <v>24</v>
      </c>
      <c r="I232" s="460" t="s">
        <v>23</v>
      </c>
      <c r="J232" s="460" t="s">
        <v>34</v>
      </c>
      <c r="K232" s="461" t="s">
        <v>22</v>
      </c>
    </row>
    <row r="233" spans="3:11" ht="15.75">
      <c r="C233" s="454" t="s">
        <v>1396</v>
      </c>
      <c r="D233" s="456" t="s">
        <v>31</v>
      </c>
      <c r="E233" s="457" t="s">
        <v>272</v>
      </c>
      <c r="F233" s="457" t="s">
        <v>841</v>
      </c>
      <c r="G233" s="457" t="s">
        <v>21</v>
      </c>
      <c r="H233" s="460" t="s">
        <v>24</v>
      </c>
      <c r="I233" s="460" t="s">
        <v>23</v>
      </c>
      <c r="J233" s="460" t="s">
        <v>22</v>
      </c>
      <c r="K233" s="461" t="s">
        <v>33</v>
      </c>
    </row>
    <row r="234" spans="3:11" ht="15.75">
      <c r="C234" s="454" t="s">
        <v>1395</v>
      </c>
      <c r="D234" s="456" t="s">
        <v>31</v>
      </c>
      <c r="E234" s="457" t="s">
        <v>272</v>
      </c>
      <c r="F234" s="457" t="s">
        <v>22</v>
      </c>
      <c r="G234" s="457" t="s">
        <v>21</v>
      </c>
      <c r="H234" s="460" t="s">
        <v>24</v>
      </c>
      <c r="I234" s="460" t="s">
        <v>23</v>
      </c>
      <c r="J234" s="460" t="s">
        <v>34</v>
      </c>
      <c r="K234" s="461" t="s">
        <v>32</v>
      </c>
    </row>
    <row r="235" spans="3:11" ht="15.75">
      <c r="C235" s="454" t="s">
        <v>1394</v>
      </c>
      <c r="D235" s="456" t="s">
        <v>31</v>
      </c>
      <c r="E235" s="457" t="s">
        <v>272</v>
      </c>
      <c r="F235" s="457" t="s">
        <v>22</v>
      </c>
      <c r="G235" s="457" t="s">
        <v>21</v>
      </c>
      <c r="H235" s="460" t="s">
        <v>24</v>
      </c>
      <c r="I235" s="460" t="s">
        <v>23</v>
      </c>
      <c r="J235" s="460" t="s">
        <v>32</v>
      </c>
      <c r="K235" s="461" t="s">
        <v>33</v>
      </c>
    </row>
    <row r="236" spans="3:11" ht="15.75">
      <c r="C236" s="454" t="s">
        <v>1393</v>
      </c>
      <c r="D236" s="456" t="s">
        <v>31</v>
      </c>
      <c r="E236" s="457" t="s">
        <v>272</v>
      </c>
      <c r="F236" s="457" t="s">
        <v>841</v>
      </c>
      <c r="G236" s="457" t="s">
        <v>21</v>
      </c>
      <c r="H236" s="460" t="s">
        <v>24</v>
      </c>
      <c r="I236" s="460" t="s">
        <v>23</v>
      </c>
      <c r="J236" s="460" t="s">
        <v>22</v>
      </c>
      <c r="K236" s="461" t="s">
        <v>32</v>
      </c>
    </row>
    <row r="237" spans="3:11" ht="15.75">
      <c r="C237" s="454" t="s">
        <v>1392</v>
      </c>
      <c r="D237" s="456" t="s">
        <v>31</v>
      </c>
      <c r="E237" s="457" t="s">
        <v>841</v>
      </c>
      <c r="F237" s="457" t="s">
        <v>32</v>
      </c>
      <c r="G237" s="457" t="s">
        <v>21</v>
      </c>
      <c r="H237" s="460" t="s">
        <v>24</v>
      </c>
      <c r="I237" s="460" t="s">
        <v>25</v>
      </c>
      <c r="J237" s="460" t="s">
        <v>34</v>
      </c>
      <c r="K237" s="461" t="s">
        <v>33</v>
      </c>
    </row>
    <row r="238" spans="3:11" ht="15.75">
      <c r="C238" s="454" t="s">
        <v>1391</v>
      </c>
      <c r="D238" s="456" t="s">
        <v>32</v>
      </c>
      <c r="E238" s="457" t="s">
        <v>272</v>
      </c>
      <c r="F238" s="457" t="s">
        <v>841</v>
      </c>
      <c r="G238" s="457" t="s">
        <v>21</v>
      </c>
      <c r="H238" s="460" t="s">
        <v>24</v>
      </c>
      <c r="I238" s="460" t="s">
        <v>25</v>
      </c>
      <c r="J238" s="460" t="s">
        <v>34</v>
      </c>
      <c r="K238" s="461" t="s">
        <v>33</v>
      </c>
    </row>
    <row r="239" spans="3:11" ht="15.75">
      <c r="C239" s="454" t="s">
        <v>1390</v>
      </c>
      <c r="D239" s="456" t="s">
        <v>31</v>
      </c>
      <c r="E239" s="457" t="s">
        <v>272</v>
      </c>
      <c r="F239" s="457" t="s">
        <v>841</v>
      </c>
      <c r="G239" s="457" t="s">
        <v>21</v>
      </c>
      <c r="H239" s="460" t="s">
        <v>24</v>
      </c>
      <c r="I239" s="460" t="s">
        <v>25</v>
      </c>
      <c r="J239" s="460" t="s">
        <v>34</v>
      </c>
      <c r="K239" s="461" t="s">
        <v>33</v>
      </c>
    </row>
    <row r="240" spans="3:11" ht="15.75">
      <c r="C240" s="454" t="s">
        <v>1389</v>
      </c>
      <c r="D240" s="456" t="s">
        <v>31</v>
      </c>
      <c r="E240" s="457" t="s">
        <v>272</v>
      </c>
      <c r="F240" s="457" t="s">
        <v>32</v>
      </c>
      <c r="G240" s="457" t="s">
        <v>21</v>
      </c>
      <c r="H240" s="460" t="s">
        <v>24</v>
      </c>
      <c r="I240" s="460" t="s">
        <v>25</v>
      </c>
      <c r="J240" s="460" t="s">
        <v>34</v>
      </c>
      <c r="K240" s="461" t="s">
        <v>33</v>
      </c>
    </row>
    <row r="241" spans="3:11" ht="15.75">
      <c r="C241" s="454" t="s">
        <v>1388</v>
      </c>
      <c r="D241" s="456" t="s">
        <v>31</v>
      </c>
      <c r="E241" s="457" t="s">
        <v>272</v>
      </c>
      <c r="F241" s="457" t="s">
        <v>841</v>
      </c>
      <c r="G241" s="457" t="s">
        <v>21</v>
      </c>
      <c r="H241" s="460" t="s">
        <v>24</v>
      </c>
      <c r="I241" s="460" t="s">
        <v>25</v>
      </c>
      <c r="J241" s="460" t="s">
        <v>34</v>
      </c>
      <c r="K241" s="461" t="s">
        <v>32</v>
      </c>
    </row>
    <row r="242" spans="3:11" ht="15.75">
      <c r="C242" s="454" t="s">
        <v>1387</v>
      </c>
      <c r="D242" s="456" t="s">
        <v>31</v>
      </c>
      <c r="E242" s="457" t="s">
        <v>272</v>
      </c>
      <c r="F242" s="457" t="s">
        <v>841</v>
      </c>
      <c r="G242" s="457" t="s">
        <v>21</v>
      </c>
      <c r="H242" s="460" t="s">
        <v>24</v>
      </c>
      <c r="I242" s="460" t="s">
        <v>25</v>
      </c>
      <c r="J242" s="460" t="s">
        <v>32</v>
      </c>
      <c r="K242" s="461" t="s">
        <v>33</v>
      </c>
    </row>
    <row r="243" spans="3:11" ht="15.75">
      <c r="C243" s="454" t="s">
        <v>1386</v>
      </c>
      <c r="D243" s="456" t="s">
        <v>21</v>
      </c>
      <c r="E243" s="457" t="s">
        <v>841</v>
      </c>
      <c r="F243" s="457" t="s">
        <v>32</v>
      </c>
      <c r="G243" s="457" t="s">
        <v>25</v>
      </c>
      <c r="H243" s="460" t="s">
        <v>24</v>
      </c>
      <c r="I243" s="460" t="s">
        <v>23</v>
      </c>
      <c r="J243" s="460" t="s">
        <v>34</v>
      </c>
      <c r="K243" s="461" t="s">
        <v>33</v>
      </c>
    </row>
    <row r="244" spans="3:11" ht="15.75">
      <c r="C244" s="454" t="s">
        <v>1385</v>
      </c>
      <c r="D244" s="456" t="s">
        <v>31</v>
      </c>
      <c r="E244" s="457" t="s">
        <v>841</v>
      </c>
      <c r="F244" s="457" t="s">
        <v>23</v>
      </c>
      <c r="G244" s="457" t="s">
        <v>21</v>
      </c>
      <c r="H244" s="460" t="s">
        <v>24</v>
      </c>
      <c r="I244" s="460" t="s">
        <v>25</v>
      </c>
      <c r="J244" s="460" t="s">
        <v>34</v>
      </c>
      <c r="K244" s="461" t="s">
        <v>33</v>
      </c>
    </row>
    <row r="245" spans="3:11" ht="15.75">
      <c r="C245" s="454" t="s">
        <v>1384</v>
      </c>
      <c r="D245" s="456" t="s">
        <v>31</v>
      </c>
      <c r="E245" s="457" t="s">
        <v>23</v>
      </c>
      <c r="F245" s="457" t="s">
        <v>32</v>
      </c>
      <c r="G245" s="457" t="s">
        <v>21</v>
      </c>
      <c r="H245" s="460" t="s">
        <v>24</v>
      </c>
      <c r="I245" s="460" t="s">
        <v>25</v>
      </c>
      <c r="J245" s="460" t="s">
        <v>34</v>
      </c>
      <c r="K245" s="461" t="s">
        <v>33</v>
      </c>
    </row>
    <row r="246" spans="3:11" ht="15.75">
      <c r="C246" s="454" t="s">
        <v>1383</v>
      </c>
      <c r="D246" s="456" t="s">
        <v>31</v>
      </c>
      <c r="E246" s="457" t="s">
        <v>841</v>
      </c>
      <c r="F246" s="457" t="s">
        <v>23</v>
      </c>
      <c r="G246" s="457" t="s">
        <v>21</v>
      </c>
      <c r="H246" s="460" t="s">
        <v>24</v>
      </c>
      <c r="I246" s="460" t="s">
        <v>25</v>
      </c>
      <c r="J246" s="460" t="s">
        <v>34</v>
      </c>
      <c r="K246" s="461" t="s">
        <v>32</v>
      </c>
    </row>
    <row r="247" spans="3:11" ht="15.75">
      <c r="C247" s="454" t="s">
        <v>1382</v>
      </c>
      <c r="D247" s="456" t="s">
        <v>31</v>
      </c>
      <c r="E247" s="457" t="s">
        <v>841</v>
      </c>
      <c r="F247" s="457" t="s">
        <v>23</v>
      </c>
      <c r="G247" s="457" t="s">
        <v>21</v>
      </c>
      <c r="H247" s="460" t="s">
        <v>24</v>
      </c>
      <c r="I247" s="460" t="s">
        <v>25</v>
      </c>
      <c r="J247" s="460" t="s">
        <v>32</v>
      </c>
      <c r="K247" s="461" t="s">
        <v>33</v>
      </c>
    </row>
    <row r="248" spans="3:11" ht="15.75">
      <c r="C248" s="454" t="s">
        <v>1381</v>
      </c>
      <c r="D248" s="456" t="s">
        <v>21</v>
      </c>
      <c r="E248" s="457" t="s">
        <v>272</v>
      </c>
      <c r="F248" s="457" t="s">
        <v>841</v>
      </c>
      <c r="G248" s="457" t="s">
        <v>25</v>
      </c>
      <c r="H248" s="460" t="s">
        <v>24</v>
      </c>
      <c r="I248" s="460" t="s">
        <v>23</v>
      </c>
      <c r="J248" s="460" t="s">
        <v>34</v>
      </c>
      <c r="K248" s="461" t="s">
        <v>33</v>
      </c>
    </row>
    <row r="249" spans="3:11" ht="15.75">
      <c r="C249" s="454" t="s">
        <v>1380</v>
      </c>
      <c r="D249" s="456" t="s">
        <v>21</v>
      </c>
      <c r="E249" s="457" t="s">
        <v>272</v>
      </c>
      <c r="F249" s="457" t="s">
        <v>32</v>
      </c>
      <c r="G249" s="457" t="s">
        <v>25</v>
      </c>
      <c r="H249" s="460" t="s">
        <v>24</v>
      </c>
      <c r="I249" s="460" t="s">
        <v>23</v>
      </c>
      <c r="J249" s="460" t="s">
        <v>34</v>
      </c>
      <c r="K249" s="461" t="s">
        <v>33</v>
      </c>
    </row>
    <row r="250" spans="3:11" ht="15.75">
      <c r="C250" s="454" t="s">
        <v>1379</v>
      </c>
      <c r="D250" s="456" t="s">
        <v>21</v>
      </c>
      <c r="E250" s="457" t="s">
        <v>272</v>
      </c>
      <c r="F250" s="457" t="s">
        <v>841</v>
      </c>
      <c r="G250" s="457" t="s">
        <v>25</v>
      </c>
      <c r="H250" s="460" t="s">
        <v>24</v>
      </c>
      <c r="I250" s="460" t="s">
        <v>23</v>
      </c>
      <c r="J250" s="460" t="s">
        <v>34</v>
      </c>
      <c r="K250" s="461" t="s">
        <v>32</v>
      </c>
    </row>
    <row r="251" spans="3:11" ht="15.75">
      <c r="C251" s="454" t="s">
        <v>1378</v>
      </c>
      <c r="D251" s="456" t="s">
        <v>21</v>
      </c>
      <c r="E251" s="457" t="s">
        <v>272</v>
      </c>
      <c r="F251" s="457" t="s">
        <v>841</v>
      </c>
      <c r="G251" s="457" t="s">
        <v>25</v>
      </c>
      <c r="H251" s="460" t="s">
        <v>24</v>
      </c>
      <c r="I251" s="460" t="s">
        <v>23</v>
      </c>
      <c r="J251" s="460" t="s">
        <v>32</v>
      </c>
      <c r="K251" s="461" t="s">
        <v>33</v>
      </c>
    </row>
    <row r="252" spans="3:11" ht="15.75">
      <c r="C252" s="454" t="s">
        <v>1377</v>
      </c>
      <c r="D252" s="456" t="s">
        <v>31</v>
      </c>
      <c r="E252" s="457" t="s">
        <v>272</v>
      </c>
      <c r="F252" s="457" t="s">
        <v>23</v>
      </c>
      <c r="G252" s="457" t="s">
        <v>21</v>
      </c>
      <c r="H252" s="460" t="s">
        <v>24</v>
      </c>
      <c r="I252" s="460" t="s">
        <v>25</v>
      </c>
      <c r="J252" s="460" t="s">
        <v>34</v>
      </c>
      <c r="K252" s="461" t="s">
        <v>33</v>
      </c>
    </row>
    <row r="253" spans="3:11" ht="15.75">
      <c r="C253" s="454" t="s">
        <v>1376</v>
      </c>
      <c r="D253" s="456" t="s">
        <v>21</v>
      </c>
      <c r="E253" s="457" t="s">
        <v>272</v>
      </c>
      <c r="F253" s="457" t="s">
        <v>841</v>
      </c>
      <c r="G253" s="457" t="s">
        <v>25</v>
      </c>
      <c r="H253" s="460" t="s">
        <v>24</v>
      </c>
      <c r="I253" s="460" t="s">
        <v>23</v>
      </c>
      <c r="J253" s="460" t="s">
        <v>34</v>
      </c>
      <c r="K253" s="461" t="s">
        <v>31</v>
      </c>
    </row>
    <row r="254" spans="3:11" ht="15.75">
      <c r="C254" s="454" t="s">
        <v>1375</v>
      </c>
      <c r="D254" s="456" t="s">
        <v>31</v>
      </c>
      <c r="E254" s="457" t="s">
        <v>272</v>
      </c>
      <c r="F254" s="457" t="s">
        <v>841</v>
      </c>
      <c r="G254" s="457" t="s">
        <v>21</v>
      </c>
      <c r="H254" s="460" t="s">
        <v>24</v>
      </c>
      <c r="I254" s="460" t="s">
        <v>23</v>
      </c>
      <c r="J254" s="460" t="s">
        <v>25</v>
      </c>
      <c r="K254" s="461" t="s">
        <v>33</v>
      </c>
    </row>
    <row r="255" spans="3:11" ht="15.75">
      <c r="C255" s="454" t="s">
        <v>1374</v>
      </c>
      <c r="D255" s="456" t="s">
        <v>31</v>
      </c>
      <c r="E255" s="457" t="s">
        <v>272</v>
      </c>
      <c r="F255" s="457" t="s">
        <v>23</v>
      </c>
      <c r="G255" s="457" t="s">
        <v>21</v>
      </c>
      <c r="H255" s="460" t="s">
        <v>24</v>
      </c>
      <c r="I255" s="460" t="s">
        <v>25</v>
      </c>
      <c r="J255" s="460" t="s">
        <v>34</v>
      </c>
      <c r="K255" s="461" t="s">
        <v>32</v>
      </c>
    </row>
    <row r="256" spans="3:11" ht="15.75">
      <c r="C256" s="454" t="s">
        <v>1373</v>
      </c>
      <c r="D256" s="456" t="s">
        <v>31</v>
      </c>
      <c r="E256" s="457" t="s">
        <v>272</v>
      </c>
      <c r="F256" s="457" t="s">
        <v>23</v>
      </c>
      <c r="G256" s="457" t="s">
        <v>21</v>
      </c>
      <c r="H256" s="460" t="s">
        <v>24</v>
      </c>
      <c r="I256" s="460" t="s">
        <v>25</v>
      </c>
      <c r="J256" s="460" t="s">
        <v>32</v>
      </c>
      <c r="K256" s="461" t="s">
        <v>33</v>
      </c>
    </row>
    <row r="257" spans="3:11" ht="15.75">
      <c r="C257" s="454" t="s">
        <v>1372</v>
      </c>
      <c r="D257" s="456" t="s">
        <v>31</v>
      </c>
      <c r="E257" s="457" t="s">
        <v>272</v>
      </c>
      <c r="F257" s="457" t="s">
        <v>841</v>
      </c>
      <c r="G257" s="457" t="s">
        <v>21</v>
      </c>
      <c r="H257" s="460" t="s">
        <v>24</v>
      </c>
      <c r="I257" s="460" t="s">
        <v>23</v>
      </c>
      <c r="J257" s="460" t="s">
        <v>25</v>
      </c>
      <c r="K257" s="461" t="s">
        <v>32</v>
      </c>
    </row>
    <row r="258" spans="3:11" ht="15.75">
      <c r="C258" s="454" t="s">
        <v>1371</v>
      </c>
      <c r="D258" s="456" t="s">
        <v>22</v>
      </c>
      <c r="E258" s="457" t="s">
        <v>841</v>
      </c>
      <c r="F258" s="457" t="s">
        <v>32</v>
      </c>
      <c r="G258" s="457" t="s">
        <v>21</v>
      </c>
      <c r="H258" s="460" t="s">
        <v>24</v>
      </c>
      <c r="I258" s="460" t="s">
        <v>25</v>
      </c>
      <c r="J258" s="460" t="s">
        <v>34</v>
      </c>
      <c r="K258" s="461" t="s">
        <v>33</v>
      </c>
    </row>
    <row r="259" spans="3:11" ht="15.75">
      <c r="C259" s="454" t="s">
        <v>1370</v>
      </c>
      <c r="D259" s="456" t="s">
        <v>31</v>
      </c>
      <c r="E259" s="457" t="s">
        <v>841</v>
      </c>
      <c r="F259" s="457" t="s">
        <v>22</v>
      </c>
      <c r="G259" s="457" t="s">
        <v>21</v>
      </c>
      <c r="H259" s="460" t="s">
        <v>24</v>
      </c>
      <c r="I259" s="460" t="s">
        <v>25</v>
      </c>
      <c r="J259" s="460" t="s">
        <v>34</v>
      </c>
      <c r="K259" s="461" t="s">
        <v>33</v>
      </c>
    </row>
    <row r="260" spans="3:11" ht="15.75">
      <c r="C260" s="454" t="s">
        <v>1369</v>
      </c>
      <c r="D260" s="456" t="s">
        <v>31</v>
      </c>
      <c r="E260" s="457" t="s">
        <v>22</v>
      </c>
      <c r="F260" s="457" t="s">
        <v>32</v>
      </c>
      <c r="G260" s="457" t="s">
        <v>21</v>
      </c>
      <c r="H260" s="460" t="s">
        <v>24</v>
      </c>
      <c r="I260" s="460" t="s">
        <v>25</v>
      </c>
      <c r="J260" s="460" t="s">
        <v>34</v>
      </c>
      <c r="K260" s="461" t="s">
        <v>33</v>
      </c>
    </row>
    <row r="261" spans="3:11" ht="15.75">
      <c r="C261" s="454" t="s">
        <v>1368</v>
      </c>
      <c r="D261" s="456" t="s">
        <v>31</v>
      </c>
      <c r="E261" s="457" t="s">
        <v>841</v>
      </c>
      <c r="F261" s="457" t="s">
        <v>22</v>
      </c>
      <c r="G261" s="457" t="s">
        <v>21</v>
      </c>
      <c r="H261" s="460" t="s">
        <v>24</v>
      </c>
      <c r="I261" s="460" t="s">
        <v>25</v>
      </c>
      <c r="J261" s="460" t="s">
        <v>34</v>
      </c>
      <c r="K261" s="461" t="s">
        <v>32</v>
      </c>
    </row>
    <row r="262" spans="3:11" ht="15.75">
      <c r="C262" s="454" t="s">
        <v>1367</v>
      </c>
      <c r="D262" s="456" t="s">
        <v>31</v>
      </c>
      <c r="E262" s="457" t="s">
        <v>841</v>
      </c>
      <c r="F262" s="457" t="s">
        <v>22</v>
      </c>
      <c r="G262" s="457" t="s">
        <v>21</v>
      </c>
      <c r="H262" s="460" t="s">
        <v>24</v>
      </c>
      <c r="I262" s="460" t="s">
        <v>25</v>
      </c>
      <c r="J262" s="460" t="s">
        <v>32</v>
      </c>
      <c r="K262" s="461" t="s">
        <v>33</v>
      </c>
    </row>
    <row r="263" spans="3:11" ht="15.75">
      <c r="C263" s="454" t="s">
        <v>1366</v>
      </c>
      <c r="D263" s="456" t="s">
        <v>22</v>
      </c>
      <c r="E263" s="457" t="s">
        <v>272</v>
      </c>
      <c r="F263" s="457" t="s">
        <v>841</v>
      </c>
      <c r="G263" s="457" t="s">
        <v>21</v>
      </c>
      <c r="H263" s="460" t="s">
        <v>24</v>
      </c>
      <c r="I263" s="460" t="s">
        <v>25</v>
      </c>
      <c r="J263" s="460" t="s">
        <v>34</v>
      </c>
      <c r="K263" s="461" t="s">
        <v>33</v>
      </c>
    </row>
    <row r="264" spans="3:11" ht="15.75">
      <c r="C264" s="454" t="s">
        <v>1365</v>
      </c>
      <c r="D264" s="456" t="s">
        <v>22</v>
      </c>
      <c r="E264" s="457" t="s">
        <v>272</v>
      </c>
      <c r="F264" s="457" t="s">
        <v>32</v>
      </c>
      <c r="G264" s="457" t="s">
        <v>21</v>
      </c>
      <c r="H264" s="460" t="s">
        <v>24</v>
      </c>
      <c r="I264" s="460" t="s">
        <v>25</v>
      </c>
      <c r="J264" s="460" t="s">
        <v>34</v>
      </c>
      <c r="K264" s="461" t="s">
        <v>33</v>
      </c>
    </row>
    <row r="265" spans="3:11" ht="15.75">
      <c r="C265" s="454" t="s">
        <v>1364</v>
      </c>
      <c r="D265" s="456" t="s">
        <v>22</v>
      </c>
      <c r="E265" s="457" t="s">
        <v>272</v>
      </c>
      <c r="F265" s="457" t="s">
        <v>841</v>
      </c>
      <c r="G265" s="457" t="s">
        <v>21</v>
      </c>
      <c r="H265" s="460" t="s">
        <v>24</v>
      </c>
      <c r="I265" s="460" t="s">
        <v>25</v>
      </c>
      <c r="J265" s="460" t="s">
        <v>34</v>
      </c>
      <c r="K265" s="461" t="s">
        <v>32</v>
      </c>
    </row>
    <row r="266" spans="3:11" ht="15.75">
      <c r="C266" s="454" t="s">
        <v>1363</v>
      </c>
      <c r="D266" s="456" t="s">
        <v>22</v>
      </c>
      <c r="E266" s="457" t="s">
        <v>272</v>
      </c>
      <c r="F266" s="457" t="s">
        <v>841</v>
      </c>
      <c r="G266" s="457" t="s">
        <v>21</v>
      </c>
      <c r="H266" s="460" t="s">
        <v>24</v>
      </c>
      <c r="I266" s="460" t="s">
        <v>25</v>
      </c>
      <c r="J266" s="460" t="s">
        <v>32</v>
      </c>
      <c r="K266" s="461" t="s">
        <v>33</v>
      </c>
    </row>
    <row r="267" spans="3:11" ht="15.75">
      <c r="C267" s="454" t="s">
        <v>1362</v>
      </c>
      <c r="D267" s="456" t="s">
        <v>31</v>
      </c>
      <c r="E267" s="457" t="s">
        <v>272</v>
      </c>
      <c r="F267" s="457" t="s">
        <v>22</v>
      </c>
      <c r="G267" s="457" t="s">
        <v>21</v>
      </c>
      <c r="H267" s="460" t="s">
        <v>24</v>
      </c>
      <c r="I267" s="460" t="s">
        <v>25</v>
      </c>
      <c r="J267" s="460" t="s">
        <v>34</v>
      </c>
      <c r="K267" s="461" t="s">
        <v>33</v>
      </c>
    </row>
    <row r="268" spans="3:11" ht="15.75">
      <c r="C268" s="454" t="s">
        <v>1361</v>
      </c>
      <c r="D268" s="456" t="s">
        <v>31</v>
      </c>
      <c r="E268" s="457" t="s">
        <v>272</v>
      </c>
      <c r="F268" s="457" t="s">
        <v>841</v>
      </c>
      <c r="G268" s="457" t="s">
        <v>21</v>
      </c>
      <c r="H268" s="460" t="s">
        <v>24</v>
      </c>
      <c r="I268" s="460" t="s">
        <v>25</v>
      </c>
      <c r="J268" s="460" t="s">
        <v>34</v>
      </c>
      <c r="K268" s="461" t="s">
        <v>22</v>
      </c>
    </row>
    <row r="269" spans="3:11" ht="15.75">
      <c r="C269" s="454" t="s">
        <v>1360</v>
      </c>
      <c r="D269" s="456" t="s">
        <v>31</v>
      </c>
      <c r="E269" s="457" t="s">
        <v>272</v>
      </c>
      <c r="F269" s="457" t="s">
        <v>841</v>
      </c>
      <c r="G269" s="457" t="s">
        <v>21</v>
      </c>
      <c r="H269" s="460" t="s">
        <v>24</v>
      </c>
      <c r="I269" s="460" t="s">
        <v>25</v>
      </c>
      <c r="J269" s="460" t="s">
        <v>22</v>
      </c>
      <c r="K269" s="461" t="s">
        <v>33</v>
      </c>
    </row>
    <row r="270" spans="3:11" ht="15.75">
      <c r="C270" s="454" t="s">
        <v>1359</v>
      </c>
      <c r="D270" s="456" t="s">
        <v>31</v>
      </c>
      <c r="E270" s="457" t="s">
        <v>272</v>
      </c>
      <c r="F270" s="457" t="s">
        <v>22</v>
      </c>
      <c r="G270" s="457" t="s">
        <v>21</v>
      </c>
      <c r="H270" s="460" t="s">
        <v>24</v>
      </c>
      <c r="I270" s="460" t="s">
        <v>25</v>
      </c>
      <c r="J270" s="460" t="s">
        <v>34</v>
      </c>
      <c r="K270" s="461" t="s">
        <v>32</v>
      </c>
    </row>
    <row r="271" spans="3:11" ht="15.75">
      <c r="C271" s="454" t="s">
        <v>1358</v>
      </c>
      <c r="D271" s="456" t="s">
        <v>31</v>
      </c>
      <c r="E271" s="457" t="s">
        <v>272</v>
      </c>
      <c r="F271" s="457" t="s">
        <v>22</v>
      </c>
      <c r="G271" s="457" t="s">
        <v>21</v>
      </c>
      <c r="H271" s="460" t="s">
        <v>24</v>
      </c>
      <c r="I271" s="460" t="s">
        <v>25</v>
      </c>
      <c r="J271" s="460" t="s">
        <v>32</v>
      </c>
      <c r="K271" s="461" t="s">
        <v>33</v>
      </c>
    </row>
    <row r="272" spans="3:11" ht="15.75">
      <c r="C272" s="454" t="s">
        <v>1357</v>
      </c>
      <c r="D272" s="456" t="s">
        <v>31</v>
      </c>
      <c r="E272" s="457" t="s">
        <v>272</v>
      </c>
      <c r="F272" s="457" t="s">
        <v>841</v>
      </c>
      <c r="G272" s="457" t="s">
        <v>21</v>
      </c>
      <c r="H272" s="460" t="s">
        <v>24</v>
      </c>
      <c r="I272" s="460" t="s">
        <v>25</v>
      </c>
      <c r="J272" s="460" t="s">
        <v>22</v>
      </c>
      <c r="K272" s="461" t="s">
        <v>32</v>
      </c>
    </row>
    <row r="273" spans="3:11" ht="15.75">
      <c r="C273" s="454" t="s">
        <v>1356</v>
      </c>
      <c r="D273" s="456" t="s">
        <v>21</v>
      </c>
      <c r="E273" s="457" t="s">
        <v>841</v>
      </c>
      <c r="F273" s="457" t="s">
        <v>22</v>
      </c>
      <c r="G273" s="457" t="s">
        <v>25</v>
      </c>
      <c r="H273" s="460" t="s">
        <v>24</v>
      </c>
      <c r="I273" s="460" t="s">
        <v>23</v>
      </c>
      <c r="J273" s="460" t="s">
        <v>34</v>
      </c>
      <c r="K273" s="461" t="s">
        <v>33</v>
      </c>
    </row>
    <row r="274" spans="3:11" ht="15.75">
      <c r="C274" s="454" t="s">
        <v>1355</v>
      </c>
      <c r="D274" s="456" t="s">
        <v>21</v>
      </c>
      <c r="E274" s="457" t="s">
        <v>22</v>
      </c>
      <c r="F274" s="457" t="s">
        <v>32</v>
      </c>
      <c r="G274" s="457" t="s">
        <v>25</v>
      </c>
      <c r="H274" s="460" t="s">
        <v>24</v>
      </c>
      <c r="I274" s="460" t="s">
        <v>23</v>
      </c>
      <c r="J274" s="460" t="s">
        <v>34</v>
      </c>
      <c r="K274" s="461" t="s">
        <v>33</v>
      </c>
    </row>
    <row r="275" spans="3:11" ht="15.75">
      <c r="C275" s="454" t="s">
        <v>1354</v>
      </c>
      <c r="D275" s="456" t="s">
        <v>21</v>
      </c>
      <c r="E275" s="457" t="s">
        <v>841</v>
      </c>
      <c r="F275" s="457" t="s">
        <v>22</v>
      </c>
      <c r="G275" s="457" t="s">
        <v>25</v>
      </c>
      <c r="H275" s="460" t="s">
        <v>24</v>
      </c>
      <c r="I275" s="460" t="s">
        <v>23</v>
      </c>
      <c r="J275" s="460" t="s">
        <v>34</v>
      </c>
      <c r="K275" s="461" t="s">
        <v>32</v>
      </c>
    </row>
    <row r="276" spans="3:11" ht="15.75">
      <c r="C276" s="454" t="s">
        <v>1353</v>
      </c>
      <c r="D276" s="456" t="s">
        <v>21</v>
      </c>
      <c r="E276" s="457" t="s">
        <v>841</v>
      </c>
      <c r="F276" s="457" t="s">
        <v>22</v>
      </c>
      <c r="G276" s="457" t="s">
        <v>25</v>
      </c>
      <c r="H276" s="460" t="s">
        <v>24</v>
      </c>
      <c r="I276" s="460" t="s">
        <v>23</v>
      </c>
      <c r="J276" s="460" t="s">
        <v>32</v>
      </c>
      <c r="K276" s="461" t="s">
        <v>33</v>
      </c>
    </row>
    <row r="277" spans="3:11" ht="15.75">
      <c r="C277" s="454" t="s">
        <v>1352</v>
      </c>
      <c r="D277" s="456" t="s">
        <v>31</v>
      </c>
      <c r="E277" s="457" t="s">
        <v>22</v>
      </c>
      <c r="F277" s="457" t="s">
        <v>23</v>
      </c>
      <c r="G277" s="457" t="s">
        <v>21</v>
      </c>
      <c r="H277" s="460" t="s">
        <v>24</v>
      </c>
      <c r="I277" s="460" t="s">
        <v>25</v>
      </c>
      <c r="J277" s="460" t="s">
        <v>34</v>
      </c>
      <c r="K277" s="461" t="s">
        <v>33</v>
      </c>
    </row>
    <row r="278" spans="3:11" ht="15.75">
      <c r="C278" s="454" t="s">
        <v>1351</v>
      </c>
      <c r="D278" s="456" t="s">
        <v>31</v>
      </c>
      <c r="E278" s="457" t="s">
        <v>841</v>
      </c>
      <c r="F278" s="457" t="s">
        <v>23</v>
      </c>
      <c r="G278" s="457" t="s">
        <v>21</v>
      </c>
      <c r="H278" s="460" t="s">
        <v>24</v>
      </c>
      <c r="I278" s="460" t="s">
        <v>25</v>
      </c>
      <c r="J278" s="460" t="s">
        <v>34</v>
      </c>
      <c r="K278" s="461" t="s">
        <v>22</v>
      </c>
    </row>
    <row r="279" spans="3:11" ht="15.75">
      <c r="C279" s="454" t="s">
        <v>1350</v>
      </c>
      <c r="D279" s="456" t="s">
        <v>31</v>
      </c>
      <c r="E279" s="457" t="s">
        <v>841</v>
      </c>
      <c r="F279" s="457" t="s">
        <v>22</v>
      </c>
      <c r="G279" s="457" t="s">
        <v>21</v>
      </c>
      <c r="H279" s="460" t="s">
        <v>24</v>
      </c>
      <c r="I279" s="460" t="s">
        <v>23</v>
      </c>
      <c r="J279" s="460" t="s">
        <v>25</v>
      </c>
      <c r="K279" s="461" t="s">
        <v>33</v>
      </c>
    </row>
    <row r="280" spans="3:11" ht="15.75">
      <c r="C280" s="454" t="s">
        <v>1349</v>
      </c>
      <c r="D280" s="456" t="s">
        <v>31</v>
      </c>
      <c r="E280" s="457" t="s">
        <v>22</v>
      </c>
      <c r="F280" s="457" t="s">
        <v>23</v>
      </c>
      <c r="G280" s="457" t="s">
        <v>21</v>
      </c>
      <c r="H280" s="460" t="s">
        <v>24</v>
      </c>
      <c r="I280" s="460" t="s">
        <v>25</v>
      </c>
      <c r="J280" s="460" t="s">
        <v>34</v>
      </c>
      <c r="K280" s="461" t="s">
        <v>32</v>
      </c>
    </row>
    <row r="281" spans="3:11" ht="15.75">
      <c r="C281" s="454" t="s">
        <v>1348</v>
      </c>
      <c r="D281" s="456" t="s">
        <v>31</v>
      </c>
      <c r="E281" s="457" t="s">
        <v>22</v>
      </c>
      <c r="F281" s="457" t="s">
        <v>23</v>
      </c>
      <c r="G281" s="457" t="s">
        <v>21</v>
      </c>
      <c r="H281" s="460" t="s">
        <v>24</v>
      </c>
      <c r="I281" s="460" t="s">
        <v>25</v>
      </c>
      <c r="J281" s="460" t="s">
        <v>32</v>
      </c>
      <c r="K281" s="461" t="s">
        <v>33</v>
      </c>
    </row>
    <row r="282" spans="3:11" ht="15.75">
      <c r="C282" s="454" t="s">
        <v>1347</v>
      </c>
      <c r="D282" s="456" t="s">
        <v>31</v>
      </c>
      <c r="E282" s="457" t="s">
        <v>841</v>
      </c>
      <c r="F282" s="457" t="s">
        <v>22</v>
      </c>
      <c r="G282" s="457" t="s">
        <v>21</v>
      </c>
      <c r="H282" s="460" t="s">
        <v>24</v>
      </c>
      <c r="I282" s="460" t="s">
        <v>23</v>
      </c>
      <c r="J282" s="460" t="s">
        <v>25</v>
      </c>
      <c r="K282" s="461" t="s">
        <v>32</v>
      </c>
    </row>
    <row r="283" spans="3:11" ht="15.75">
      <c r="C283" s="454" t="s">
        <v>1346</v>
      </c>
      <c r="D283" s="456" t="s">
        <v>21</v>
      </c>
      <c r="E283" s="457" t="s">
        <v>272</v>
      </c>
      <c r="F283" s="457" t="s">
        <v>22</v>
      </c>
      <c r="G283" s="457" t="s">
        <v>25</v>
      </c>
      <c r="H283" s="460" t="s">
        <v>24</v>
      </c>
      <c r="I283" s="460" t="s">
        <v>23</v>
      </c>
      <c r="J283" s="460" t="s">
        <v>34</v>
      </c>
      <c r="K283" s="461" t="s">
        <v>33</v>
      </c>
    </row>
    <row r="284" spans="3:11" ht="15.75">
      <c r="C284" s="454" t="s">
        <v>1345</v>
      </c>
      <c r="D284" s="456" t="s">
        <v>21</v>
      </c>
      <c r="E284" s="457" t="s">
        <v>272</v>
      </c>
      <c r="F284" s="457" t="s">
        <v>841</v>
      </c>
      <c r="G284" s="457" t="s">
        <v>25</v>
      </c>
      <c r="H284" s="460" t="s">
        <v>24</v>
      </c>
      <c r="I284" s="460" t="s">
        <v>23</v>
      </c>
      <c r="J284" s="460" t="s">
        <v>34</v>
      </c>
      <c r="K284" s="461" t="s">
        <v>22</v>
      </c>
    </row>
    <row r="285" spans="3:11" ht="15.75">
      <c r="C285" s="454" t="s">
        <v>1344</v>
      </c>
      <c r="D285" s="456" t="s">
        <v>21</v>
      </c>
      <c r="E285" s="457" t="s">
        <v>272</v>
      </c>
      <c r="F285" s="457" t="s">
        <v>841</v>
      </c>
      <c r="G285" s="457" t="s">
        <v>25</v>
      </c>
      <c r="H285" s="460" t="s">
        <v>24</v>
      </c>
      <c r="I285" s="460" t="s">
        <v>23</v>
      </c>
      <c r="J285" s="460" t="s">
        <v>22</v>
      </c>
      <c r="K285" s="461" t="s">
        <v>33</v>
      </c>
    </row>
    <row r="286" spans="3:11" ht="15.75">
      <c r="C286" s="454" t="s">
        <v>1343</v>
      </c>
      <c r="D286" s="456" t="s">
        <v>21</v>
      </c>
      <c r="E286" s="457" t="s">
        <v>272</v>
      </c>
      <c r="F286" s="457" t="s">
        <v>22</v>
      </c>
      <c r="G286" s="457" t="s">
        <v>25</v>
      </c>
      <c r="H286" s="460" t="s">
        <v>24</v>
      </c>
      <c r="I286" s="460" t="s">
        <v>23</v>
      </c>
      <c r="J286" s="460" t="s">
        <v>34</v>
      </c>
      <c r="K286" s="461" t="s">
        <v>32</v>
      </c>
    </row>
    <row r="287" spans="3:11" ht="15.75">
      <c r="C287" s="454" t="s">
        <v>1342</v>
      </c>
      <c r="D287" s="456" t="s">
        <v>21</v>
      </c>
      <c r="E287" s="457" t="s">
        <v>272</v>
      </c>
      <c r="F287" s="457" t="s">
        <v>22</v>
      </c>
      <c r="G287" s="457" t="s">
        <v>25</v>
      </c>
      <c r="H287" s="460" t="s">
        <v>24</v>
      </c>
      <c r="I287" s="460" t="s">
        <v>23</v>
      </c>
      <c r="J287" s="460" t="s">
        <v>32</v>
      </c>
      <c r="K287" s="461" t="s">
        <v>33</v>
      </c>
    </row>
    <row r="288" spans="3:11" ht="15.75">
      <c r="C288" s="454" t="s">
        <v>1341</v>
      </c>
      <c r="D288" s="456" t="s">
        <v>21</v>
      </c>
      <c r="E288" s="457" t="s">
        <v>272</v>
      </c>
      <c r="F288" s="457" t="s">
        <v>841</v>
      </c>
      <c r="G288" s="457" t="s">
        <v>25</v>
      </c>
      <c r="H288" s="460" t="s">
        <v>24</v>
      </c>
      <c r="I288" s="460" t="s">
        <v>23</v>
      </c>
      <c r="J288" s="460" t="s">
        <v>22</v>
      </c>
      <c r="K288" s="461" t="s">
        <v>32</v>
      </c>
    </row>
    <row r="289" spans="3:11" ht="15.75">
      <c r="C289" s="454" t="s">
        <v>1340</v>
      </c>
      <c r="D289" s="456" t="s">
        <v>31</v>
      </c>
      <c r="E289" s="457" t="s">
        <v>272</v>
      </c>
      <c r="F289" s="457" t="s">
        <v>23</v>
      </c>
      <c r="G289" s="457" t="s">
        <v>21</v>
      </c>
      <c r="H289" s="460" t="s">
        <v>24</v>
      </c>
      <c r="I289" s="460" t="s">
        <v>25</v>
      </c>
      <c r="J289" s="460" t="s">
        <v>34</v>
      </c>
      <c r="K289" s="461" t="s">
        <v>22</v>
      </c>
    </row>
    <row r="290" spans="3:11" ht="15.75">
      <c r="C290" s="454" t="s">
        <v>1339</v>
      </c>
      <c r="D290" s="456" t="s">
        <v>31</v>
      </c>
      <c r="E290" s="457" t="s">
        <v>272</v>
      </c>
      <c r="F290" s="457" t="s">
        <v>22</v>
      </c>
      <c r="G290" s="457" t="s">
        <v>21</v>
      </c>
      <c r="H290" s="460" t="s">
        <v>24</v>
      </c>
      <c r="I290" s="460" t="s">
        <v>23</v>
      </c>
      <c r="J290" s="460" t="s">
        <v>25</v>
      </c>
      <c r="K290" s="461" t="s">
        <v>33</v>
      </c>
    </row>
    <row r="291" spans="3:11" ht="15.75">
      <c r="C291" s="454" t="s">
        <v>1338</v>
      </c>
      <c r="D291" s="456" t="s">
        <v>31</v>
      </c>
      <c r="E291" s="457" t="s">
        <v>272</v>
      </c>
      <c r="F291" s="457" t="s">
        <v>841</v>
      </c>
      <c r="G291" s="457" t="s">
        <v>21</v>
      </c>
      <c r="H291" s="460" t="s">
        <v>24</v>
      </c>
      <c r="I291" s="460" t="s">
        <v>23</v>
      </c>
      <c r="J291" s="460" t="s">
        <v>25</v>
      </c>
      <c r="K291" s="461" t="s">
        <v>22</v>
      </c>
    </row>
    <row r="292" spans="3:11" ht="15.75">
      <c r="C292" s="454" t="s">
        <v>1337</v>
      </c>
      <c r="D292" s="456" t="s">
        <v>31</v>
      </c>
      <c r="E292" s="457" t="s">
        <v>272</v>
      </c>
      <c r="F292" s="457" t="s">
        <v>22</v>
      </c>
      <c r="G292" s="457" t="s">
        <v>21</v>
      </c>
      <c r="H292" s="460" t="s">
        <v>24</v>
      </c>
      <c r="I292" s="460" t="s">
        <v>23</v>
      </c>
      <c r="J292" s="460" t="s">
        <v>25</v>
      </c>
      <c r="K292" s="461" t="s">
        <v>32</v>
      </c>
    </row>
    <row r="293" spans="3:11" ht="15.75">
      <c r="C293" s="454" t="s">
        <v>1336</v>
      </c>
      <c r="D293" s="456" t="s">
        <v>31</v>
      </c>
      <c r="E293" s="457" t="s">
        <v>841</v>
      </c>
      <c r="F293" s="457" t="s">
        <v>20</v>
      </c>
      <c r="G293" s="457" t="s">
        <v>24</v>
      </c>
      <c r="H293" s="460" t="s">
        <v>32</v>
      </c>
      <c r="I293" s="460" t="s">
        <v>272</v>
      </c>
      <c r="J293" s="460" t="s">
        <v>34</v>
      </c>
      <c r="K293" s="461" t="s">
        <v>33</v>
      </c>
    </row>
    <row r="294" spans="3:11" ht="15.75">
      <c r="C294" s="454" t="s">
        <v>1335</v>
      </c>
      <c r="D294" s="456" t="s">
        <v>31</v>
      </c>
      <c r="E294" s="457" t="s">
        <v>841</v>
      </c>
      <c r="F294" s="457" t="s">
        <v>20</v>
      </c>
      <c r="G294" s="457" t="s">
        <v>24</v>
      </c>
      <c r="H294" s="460" t="s">
        <v>32</v>
      </c>
      <c r="I294" s="460" t="s">
        <v>23</v>
      </c>
      <c r="J294" s="460" t="s">
        <v>34</v>
      </c>
      <c r="K294" s="461" t="s">
        <v>33</v>
      </c>
    </row>
    <row r="295" spans="3:11" ht="15.75">
      <c r="C295" s="454" t="s">
        <v>1334</v>
      </c>
      <c r="D295" s="456" t="s">
        <v>32</v>
      </c>
      <c r="E295" s="457" t="s">
        <v>841</v>
      </c>
      <c r="F295" s="457" t="s">
        <v>20</v>
      </c>
      <c r="G295" s="457" t="s">
        <v>23</v>
      </c>
      <c r="H295" s="460" t="s">
        <v>24</v>
      </c>
      <c r="I295" s="460" t="s">
        <v>272</v>
      </c>
      <c r="J295" s="460" t="s">
        <v>34</v>
      </c>
      <c r="K295" s="461" t="s">
        <v>33</v>
      </c>
    </row>
    <row r="296" spans="3:11" ht="15.75">
      <c r="C296" s="454" t="s">
        <v>1333</v>
      </c>
      <c r="D296" s="456" t="s">
        <v>31</v>
      </c>
      <c r="E296" s="457" t="s">
        <v>841</v>
      </c>
      <c r="F296" s="457" t="s">
        <v>20</v>
      </c>
      <c r="G296" s="457" t="s">
        <v>23</v>
      </c>
      <c r="H296" s="460" t="s">
        <v>24</v>
      </c>
      <c r="I296" s="460" t="s">
        <v>272</v>
      </c>
      <c r="J296" s="460" t="s">
        <v>34</v>
      </c>
      <c r="K296" s="461" t="s">
        <v>33</v>
      </c>
    </row>
    <row r="297" spans="3:11" ht="15.75">
      <c r="C297" s="454" t="s">
        <v>1332</v>
      </c>
      <c r="D297" s="456" t="s">
        <v>31</v>
      </c>
      <c r="E297" s="457" t="s">
        <v>272</v>
      </c>
      <c r="F297" s="457" t="s">
        <v>20</v>
      </c>
      <c r="G297" s="457" t="s">
        <v>24</v>
      </c>
      <c r="H297" s="460" t="s">
        <v>32</v>
      </c>
      <c r="I297" s="460" t="s">
        <v>23</v>
      </c>
      <c r="J297" s="460" t="s">
        <v>34</v>
      </c>
      <c r="K297" s="461" t="s">
        <v>33</v>
      </c>
    </row>
    <row r="298" spans="3:11" ht="15.75">
      <c r="C298" s="454" t="s">
        <v>1331</v>
      </c>
      <c r="D298" s="456" t="s">
        <v>31</v>
      </c>
      <c r="E298" s="457" t="s">
        <v>841</v>
      </c>
      <c r="F298" s="457" t="s">
        <v>20</v>
      </c>
      <c r="G298" s="457" t="s">
        <v>23</v>
      </c>
      <c r="H298" s="460" t="s">
        <v>24</v>
      </c>
      <c r="I298" s="460" t="s">
        <v>272</v>
      </c>
      <c r="J298" s="460" t="s">
        <v>34</v>
      </c>
      <c r="K298" s="461" t="s">
        <v>32</v>
      </c>
    </row>
    <row r="299" spans="3:11" ht="15.75">
      <c r="C299" s="454" t="s">
        <v>1330</v>
      </c>
      <c r="D299" s="456" t="s">
        <v>31</v>
      </c>
      <c r="E299" s="457" t="s">
        <v>841</v>
      </c>
      <c r="F299" s="457" t="s">
        <v>20</v>
      </c>
      <c r="G299" s="457" t="s">
        <v>23</v>
      </c>
      <c r="H299" s="460" t="s">
        <v>24</v>
      </c>
      <c r="I299" s="460" t="s">
        <v>272</v>
      </c>
      <c r="J299" s="460" t="s">
        <v>32</v>
      </c>
      <c r="K299" s="461" t="s">
        <v>33</v>
      </c>
    </row>
    <row r="300" spans="3:11" ht="15.75">
      <c r="C300" s="454" t="s">
        <v>1329</v>
      </c>
      <c r="D300" s="456" t="s">
        <v>22</v>
      </c>
      <c r="E300" s="457" t="s">
        <v>841</v>
      </c>
      <c r="F300" s="457" t="s">
        <v>20</v>
      </c>
      <c r="G300" s="457" t="s">
        <v>24</v>
      </c>
      <c r="H300" s="460" t="s">
        <v>32</v>
      </c>
      <c r="I300" s="460" t="s">
        <v>31</v>
      </c>
      <c r="J300" s="460" t="s">
        <v>34</v>
      </c>
      <c r="K300" s="461" t="s">
        <v>33</v>
      </c>
    </row>
    <row r="301" spans="3:11" ht="15.75">
      <c r="C301" s="454" t="s">
        <v>1328</v>
      </c>
      <c r="D301" s="456" t="s">
        <v>22</v>
      </c>
      <c r="E301" s="457" t="s">
        <v>841</v>
      </c>
      <c r="F301" s="457" t="s">
        <v>20</v>
      </c>
      <c r="G301" s="457" t="s">
        <v>24</v>
      </c>
      <c r="H301" s="460" t="s">
        <v>32</v>
      </c>
      <c r="I301" s="460" t="s">
        <v>272</v>
      </c>
      <c r="J301" s="460" t="s">
        <v>34</v>
      </c>
      <c r="K301" s="461" t="s">
        <v>33</v>
      </c>
    </row>
    <row r="302" spans="3:11" ht="15.75">
      <c r="C302" s="454" t="s">
        <v>1327</v>
      </c>
      <c r="D302" s="456" t="s">
        <v>22</v>
      </c>
      <c r="E302" s="457" t="s">
        <v>841</v>
      </c>
      <c r="F302" s="457" t="s">
        <v>20</v>
      </c>
      <c r="G302" s="457" t="s">
        <v>24</v>
      </c>
      <c r="H302" s="460" t="s">
        <v>31</v>
      </c>
      <c r="I302" s="460" t="s">
        <v>272</v>
      </c>
      <c r="J302" s="460" t="s">
        <v>34</v>
      </c>
      <c r="K302" s="461" t="s">
        <v>33</v>
      </c>
    </row>
    <row r="303" spans="3:11" ht="15.75">
      <c r="C303" s="454" t="s">
        <v>1326</v>
      </c>
      <c r="D303" s="456" t="s">
        <v>22</v>
      </c>
      <c r="E303" s="457" t="s">
        <v>272</v>
      </c>
      <c r="F303" s="457" t="s">
        <v>20</v>
      </c>
      <c r="G303" s="457" t="s">
        <v>24</v>
      </c>
      <c r="H303" s="460" t="s">
        <v>32</v>
      </c>
      <c r="I303" s="460" t="s">
        <v>31</v>
      </c>
      <c r="J303" s="460" t="s">
        <v>34</v>
      </c>
      <c r="K303" s="461" t="s">
        <v>33</v>
      </c>
    </row>
    <row r="304" spans="3:11" ht="15.75">
      <c r="C304" s="454" t="s">
        <v>1325</v>
      </c>
      <c r="D304" s="456" t="s">
        <v>22</v>
      </c>
      <c r="E304" s="457" t="s">
        <v>841</v>
      </c>
      <c r="F304" s="457" t="s">
        <v>20</v>
      </c>
      <c r="G304" s="457" t="s">
        <v>24</v>
      </c>
      <c r="H304" s="460" t="s">
        <v>31</v>
      </c>
      <c r="I304" s="460" t="s">
        <v>272</v>
      </c>
      <c r="J304" s="460" t="s">
        <v>34</v>
      </c>
      <c r="K304" s="461" t="s">
        <v>32</v>
      </c>
    </row>
    <row r="305" spans="3:11" ht="15.75">
      <c r="C305" s="454" t="s">
        <v>1324</v>
      </c>
      <c r="D305" s="456" t="s">
        <v>22</v>
      </c>
      <c r="E305" s="457" t="s">
        <v>841</v>
      </c>
      <c r="F305" s="457" t="s">
        <v>20</v>
      </c>
      <c r="G305" s="457" t="s">
        <v>24</v>
      </c>
      <c r="H305" s="460" t="s">
        <v>31</v>
      </c>
      <c r="I305" s="460" t="s">
        <v>272</v>
      </c>
      <c r="J305" s="460" t="s">
        <v>32</v>
      </c>
      <c r="K305" s="461" t="s">
        <v>33</v>
      </c>
    </row>
    <row r="306" spans="3:11" ht="15.75">
      <c r="C306" s="454" t="s">
        <v>1323</v>
      </c>
      <c r="D306" s="456" t="s">
        <v>22</v>
      </c>
      <c r="E306" s="457" t="s">
        <v>841</v>
      </c>
      <c r="F306" s="457" t="s">
        <v>20</v>
      </c>
      <c r="G306" s="457" t="s">
        <v>24</v>
      </c>
      <c r="H306" s="460" t="s">
        <v>32</v>
      </c>
      <c r="I306" s="460" t="s">
        <v>23</v>
      </c>
      <c r="J306" s="460" t="s">
        <v>34</v>
      </c>
      <c r="K306" s="461" t="s">
        <v>33</v>
      </c>
    </row>
    <row r="307" spans="3:11" ht="15.75">
      <c r="C307" s="454" t="s">
        <v>1322</v>
      </c>
      <c r="D307" s="456" t="s">
        <v>22</v>
      </c>
      <c r="E307" s="457" t="s">
        <v>841</v>
      </c>
      <c r="F307" s="457" t="s">
        <v>20</v>
      </c>
      <c r="G307" s="457" t="s">
        <v>23</v>
      </c>
      <c r="H307" s="460" t="s">
        <v>24</v>
      </c>
      <c r="I307" s="460" t="s">
        <v>31</v>
      </c>
      <c r="J307" s="460" t="s">
        <v>34</v>
      </c>
      <c r="K307" s="461" t="s">
        <v>33</v>
      </c>
    </row>
    <row r="308" spans="3:11" ht="15.75">
      <c r="C308" s="454" t="s">
        <v>1321</v>
      </c>
      <c r="D308" s="456" t="s">
        <v>22</v>
      </c>
      <c r="E308" s="457" t="s">
        <v>32</v>
      </c>
      <c r="F308" s="457" t="s">
        <v>20</v>
      </c>
      <c r="G308" s="457" t="s">
        <v>23</v>
      </c>
      <c r="H308" s="460" t="s">
        <v>24</v>
      </c>
      <c r="I308" s="460" t="s">
        <v>31</v>
      </c>
      <c r="J308" s="460" t="s">
        <v>34</v>
      </c>
      <c r="K308" s="461" t="s">
        <v>33</v>
      </c>
    </row>
    <row r="309" spans="3:11" ht="15.75">
      <c r="C309" s="454" t="s">
        <v>1320</v>
      </c>
      <c r="D309" s="456" t="s">
        <v>22</v>
      </c>
      <c r="E309" s="457" t="s">
        <v>841</v>
      </c>
      <c r="F309" s="457" t="s">
        <v>20</v>
      </c>
      <c r="G309" s="457" t="s">
        <v>23</v>
      </c>
      <c r="H309" s="460" t="s">
        <v>24</v>
      </c>
      <c r="I309" s="460" t="s">
        <v>31</v>
      </c>
      <c r="J309" s="460" t="s">
        <v>34</v>
      </c>
      <c r="K309" s="461" t="s">
        <v>32</v>
      </c>
    </row>
    <row r="310" spans="3:11" ht="15.75">
      <c r="C310" s="454" t="s">
        <v>1319</v>
      </c>
      <c r="D310" s="456" t="s">
        <v>22</v>
      </c>
      <c r="E310" s="457" t="s">
        <v>841</v>
      </c>
      <c r="F310" s="457" t="s">
        <v>20</v>
      </c>
      <c r="G310" s="457" t="s">
        <v>23</v>
      </c>
      <c r="H310" s="460" t="s">
        <v>24</v>
      </c>
      <c r="I310" s="460" t="s">
        <v>31</v>
      </c>
      <c r="J310" s="460" t="s">
        <v>32</v>
      </c>
      <c r="K310" s="461" t="s">
        <v>33</v>
      </c>
    </row>
    <row r="311" spans="3:11" ht="15.75">
      <c r="C311" s="454" t="s">
        <v>1318</v>
      </c>
      <c r="D311" s="456" t="s">
        <v>22</v>
      </c>
      <c r="E311" s="457" t="s">
        <v>841</v>
      </c>
      <c r="F311" s="457" t="s">
        <v>20</v>
      </c>
      <c r="G311" s="457" t="s">
        <v>23</v>
      </c>
      <c r="H311" s="460" t="s">
        <v>24</v>
      </c>
      <c r="I311" s="460" t="s">
        <v>272</v>
      </c>
      <c r="J311" s="460" t="s">
        <v>34</v>
      </c>
      <c r="K311" s="461" t="s">
        <v>33</v>
      </c>
    </row>
    <row r="312" spans="3:11" ht="15.75">
      <c r="C312" s="454" t="s">
        <v>1317</v>
      </c>
      <c r="D312" s="456" t="s">
        <v>22</v>
      </c>
      <c r="E312" s="457" t="s">
        <v>272</v>
      </c>
      <c r="F312" s="457" t="s">
        <v>20</v>
      </c>
      <c r="G312" s="457" t="s">
        <v>24</v>
      </c>
      <c r="H312" s="460" t="s">
        <v>32</v>
      </c>
      <c r="I312" s="460" t="s">
        <v>23</v>
      </c>
      <c r="J312" s="460" t="s">
        <v>34</v>
      </c>
      <c r="K312" s="461" t="s">
        <v>33</v>
      </c>
    </row>
    <row r="313" spans="3:11" ht="15.75">
      <c r="C313" s="454" t="s">
        <v>1316</v>
      </c>
      <c r="D313" s="456" t="s">
        <v>22</v>
      </c>
      <c r="E313" s="457" t="s">
        <v>841</v>
      </c>
      <c r="F313" s="457" t="s">
        <v>20</v>
      </c>
      <c r="G313" s="457" t="s">
        <v>23</v>
      </c>
      <c r="H313" s="460" t="s">
        <v>24</v>
      </c>
      <c r="I313" s="460" t="s">
        <v>272</v>
      </c>
      <c r="J313" s="460" t="s">
        <v>34</v>
      </c>
      <c r="K313" s="461" t="s">
        <v>32</v>
      </c>
    </row>
    <row r="314" spans="3:11" ht="15.75">
      <c r="C314" s="454" t="s">
        <v>1315</v>
      </c>
      <c r="D314" s="456" t="s">
        <v>22</v>
      </c>
      <c r="E314" s="457" t="s">
        <v>841</v>
      </c>
      <c r="F314" s="457" t="s">
        <v>20</v>
      </c>
      <c r="G314" s="457" t="s">
        <v>23</v>
      </c>
      <c r="H314" s="460" t="s">
        <v>24</v>
      </c>
      <c r="I314" s="460" t="s">
        <v>272</v>
      </c>
      <c r="J314" s="460" t="s">
        <v>32</v>
      </c>
      <c r="K314" s="461" t="s">
        <v>33</v>
      </c>
    </row>
    <row r="315" spans="3:11" ht="15.75">
      <c r="C315" s="454" t="s">
        <v>1314</v>
      </c>
      <c r="D315" s="456" t="s">
        <v>22</v>
      </c>
      <c r="E315" s="457" t="s">
        <v>272</v>
      </c>
      <c r="F315" s="457" t="s">
        <v>20</v>
      </c>
      <c r="G315" s="457" t="s">
        <v>23</v>
      </c>
      <c r="H315" s="460" t="s">
        <v>24</v>
      </c>
      <c r="I315" s="460" t="s">
        <v>31</v>
      </c>
      <c r="J315" s="460" t="s">
        <v>34</v>
      </c>
      <c r="K315" s="461" t="s">
        <v>33</v>
      </c>
    </row>
    <row r="316" spans="3:11" ht="15.75">
      <c r="C316" s="454" t="s">
        <v>1313</v>
      </c>
      <c r="D316" s="456" t="s">
        <v>31</v>
      </c>
      <c r="E316" s="457" t="s">
        <v>841</v>
      </c>
      <c r="F316" s="457" t="s">
        <v>20</v>
      </c>
      <c r="G316" s="457" t="s">
        <v>23</v>
      </c>
      <c r="H316" s="460" t="s">
        <v>24</v>
      </c>
      <c r="I316" s="460" t="s">
        <v>272</v>
      </c>
      <c r="J316" s="460" t="s">
        <v>34</v>
      </c>
      <c r="K316" s="461" t="s">
        <v>22</v>
      </c>
    </row>
    <row r="317" spans="3:11" ht="15.75">
      <c r="C317" s="454" t="s">
        <v>1312</v>
      </c>
      <c r="D317" s="456" t="s">
        <v>31</v>
      </c>
      <c r="E317" s="457" t="s">
        <v>841</v>
      </c>
      <c r="F317" s="457" t="s">
        <v>20</v>
      </c>
      <c r="G317" s="457" t="s">
        <v>23</v>
      </c>
      <c r="H317" s="460" t="s">
        <v>24</v>
      </c>
      <c r="I317" s="460" t="s">
        <v>272</v>
      </c>
      <c r="J317" s="460" t="s">
        <v>22</v>
      </c>
      <c r="K317" s="461" t="s">
        <v>33</v>
      </c>
    </row>
    <row r="318" spans="3:11" ht="15.75">
      <c r="C318" s="454" t="s">
        <v>1311</v>
      </c>
      <c r="D318" s="456" t="s">
        <v>22</v>
      </c>
      <c r="E318" s="457" t="s">
        <v>272</v>
      </c>
      <c r="F318" s="457" t="s">
        <v>20</v>
      </c>
      <c r="G318" s="457" t="s">
        <v>23</v>
      </c>
      <c r="H318" s="460" t="s">
        <v>24</v>
      </c>
      <c r="I318" s="460" t="s">
        <v>31</v>
      </c>
      <c r="J318" s="460" t="s">
        <v>34</v>
      </c>
      <c r="K318" s="461" t="s">
        <v>32</v>
      </c>
    </row>
    <row r="319" spans="3:11" ht="15.75">
      <c r="C319" s="454" t="s">
        <v>1310</v>
      </c>
      <c r="D319" s="456" t="s">
        <v>22</v>
      </c>
      <c r="E319" s="457" t="s">
        <v>272</v>
      </c>
      <c r="F319" s="457" t="s">
        <v>20</v>
      </c>
      <c r="G319" s="457" t="s">
        <v>23</v>
      </c>
      <c r="H319" s="460" t="s">
        <v>24</v>
      </c>
      <c r="I319" s="460" t="s">
        <v>31</v>
      </c>
      <c r="J319" s="460" t="s">
        <v>32</v>
      </c>
      <c r="K319" s="461" t="s">
        <v>33</v>
      </c>
    </row>
    <row r="320" spans="3:11" ht="15.75">
      <c r="C320" s="454" t="s">
        <v>1309</v>
      </c>
      <c r="D320" s="456" t="s">
        <v>31</v>
      </c>
      <c r="E320" s="457" t="s">
        <v>841</v>
      </c>
      <c r="F320" s="457" t="s">
        <v>20</v>
      </c>
      <c r="G320" s="457" t="s">
        <v>23</v>
      </c>
      <c r="H320" s="460" t="s">
        <v>24</v>
      </c>
      <c r="I320" s="460" t="s">
        <v>272</v>
      </c>
      <c r="J320" s="460" t="s">
        <v>22</v>
      </c>
      <c r="K320" s="461" t="s">
        <v>32</v>
      </c>
    </row>
    <row r="321" spans="3:11" ht="15.75">
      <c r="C321" s="454" t="s">
        <v>1308</v>
      </c>
      <c r="D321" s="456" t="s">
        <v>32</v>
      </c>
      <c r="E321" s="457" t="s">
        <v>841</v>
      </c>
      <c r="F321" s="457" t="s">
        <v>20</v>
      </c>
      <c r="G321" s="457" t="s">
        <v>25</v>
      </c>
      <c r="H321" s="460" t="s">
        <v>24</v>
      </c>
      <c r="I321" s="460" t="s">
        <v>31</v>
      </c>
      <c r="J321" s="460" t="s">
        <v>34</v>
      </c>
      <c r="K321" s="461" t="s">
        <v>33</v>
      </c>
    </row>
    <row r="322" spans="3:11" ht="15.75">
      <c r="C322" s="454" t="s">
        <v>1307</v>
      </c>
      <c r="D322" s="456" t="s">
        <v>32</v>
      </c>
      <c r="E322" s="457" t="s">
        <v>841</v>
      </c>
      <c r="F322" s="457" t="s">
        <v>20</v>
      </c>
      <c r="G322" s="457" t="s">
        <v>25</v>
      </c>
      <c r="H322" s="460" t="s">
        <v>24</v>
      </c>
      <c r="I322" s="460" t="s">
        <v>272</v>
      </c>
      <c r="J322" s="460" t="s">
        <v>34</v>
      </c>
      <c r="K322" s="461" t="s">
        <v>33</v>
      </c>
    </row>
    <row r="323" spans="3:11" ht="15.75">
      <c r="C323" s="454" t="s">
        <v>1306</v>
      </c>
      <c r="D323" s="456" t="s">
        <v>31</v>
      </c>
      <c r="E323" s="457" t="s">
        <v>841</v>
      </c>
      <c r="F323" s="457" t="s">
        <v>20</v>
      </c>
      <c r="G323" s="457" t="s">
        <v>25</v>
      </c>
      <c r="H323" s="460" t="s">
        <v>24</v>
      </c>
      <c r="I323" s="460" t="s">
        <v>272</v>
      </c>
      <c r="J323" s="460" t="s">
        <v>34</v>
      </c>
      <c r="K323" s="461" t="s">
        <v>33</v>
      </c>
    </row>
    <row r="324" spans="3:11" ht="15.75">
      <c r="C324" s="454" t="s">
        <v>1305</v>
      </c>
      <c r="D324" s="456" t="s">
        <v>32</v>
      </c>
      <c r="E324" s="457" t="s">
        <v>272</v>
      </c>
      <c r="F324" s="457" t="s">
        <v>20</v>
      </c>
      <c r="G324" s="457" t="s">
        <v>25</v>
      </c>
      <c r="H324" s="460" t="s">
        <v>24</v>
      </c>
      <c r="I324" s="460" t="s">
        <v>31</v>
      </c>
      <c r="J324" s="460" t="s">
        <v>34</v>
      </c>
      <c r="K324" s="461" t="s">
        <v>33</v>
      </c>
    </row>
    <row r="325" spans="3:11" ht="15.75">
      <c r="C325" s="454" t="s">
        <v>1304</v>
      </c>
      <c r="D325" s="456" t="s">
        <v>31</v>
      </c>
      <c r="E325" s="457" t="s">
        <v>841</v>
      </c>
      <c r="F325" s="457" t="s">
        <v>20</v>
      </c>
      <c r="G325" s="457" t="s">
        <v>25</v>
      </c>
      <c r="H325" s="460" t="s">
        <v>24</v>
      </c>
      <c r="I325" s="460" t="s">
        <v>272</v>
      </c>
      <c r="J325" s="460" t="s">
        <v>34</v>
      </c>
      <c r="K325" s="461" t="s">
        <v>32</v>
      </c>
    </row>
    <row r="326" spans="3:11" ht="15.75">
      <c r="C326" s="454" t="s">
        <v>1303</v>
      </c>
      <c r="D326" s="456" t="s">
        <v>31</v>
      </c>
      <c r="E326" s="457" t="s">
        <v>841</v>
      </c>
      <c r="F326" s="457" t="s">
        <v>20</v>
      </c>
      <c r="G326" s="457" t="s">
        <v>25</v>
      </c>
      <c r="H326" s="460" t="s">
        <v>24</v>
      </c>
      <c r="I326" s="460" t="s">
        <v>272</v>
      </c>
      <c r="J326" s="460" t="s">
        <v>32</v>
      </c>
      <c r="K326" s="461" t="s">
        <v>33</v>
      </c>
    </row>
    <row r="327" spans="3:11" ht="15.75">
      <c r="C327" s="454" t="s">
        <v>1302</v>
      </c>
      <c r="D327" s="456" t="s">
        <v>32</v>
      </c>
      <c r="E327" s="457" t="s">
        <v>841</v>
      </c>
      <c r="F327" s="457" t="s">
        <v>20</v>
      </c>
      <c r="G327" s="457" t="s">
        <v>25</v>
      </c>
      <c r="H327" s="460" t="s">
        <v>24</v>
      </c>
      <c r="I327" s="460" t="s">
        <v>23</v>
      </c>
      <c r="J327" s="460" t="s">
        <v>34</v>
      </c>
      <c r="K327" s="461" t="s">
        <v>33</v>
      </c>
    </row>
    <row r="328" spans="3:11" ht="15.75">
      <c r="C328" s="454" t="s">
        <v>1301</v>
      </c>
      <c r="D328" s="456" t="s">
        <v>31</v>
      </c>
      <c r="E328" s="457" t="s">
        <v>841</v>
      </c>
      <c r="F328" s="457" t="s">
        <v>20</v>
      </c>
      <c r="G328" s="457" t="s">
        <v>25</v>
      </c>
      <c r="H328" s="460" t="s">
        <v>24</v>
      </c>
      <c r="I328" s="460" t="s">
        <v>23</v>
      </c>
      <c r="J328" s="460" t="s">
        <v>34</v>
      </c>
      <c r="K328" s="461" t="s">
        <v>33</v>
      </c>
    </row>
    <row r="329" spans="3:11" ht="15.75">
      <c r="C329" s="454" t="s">
        <v>1300</v>
      </c>
      <c r="D329" s="456" t="s">
        <v>31</v>
      </c>
      <c r="E329" s="457" t="s">
        <v>32</v>
      </c>
      <c r="F329" s="457" t="s">
        <v>20</v>
      </c>
      <c r="G329" s="457" t="s">
        <v>25</v>
      </c>
      <c r="H329" s="460" t="s">
        <v>24</v>
      </c>
      <c r="I329" s="460" t="s">
        <v>23</v>
      </c>
      <c r="J329" s="460" t="s">
        <v>34</v>
      </c>
      <c r="K329" s="461" t="s">
        <v>33</v>
      </c>
    </row>
    <row r="330" spans="3:11" ht="15.75">
      <c r="C330" s="454" t="s">
        <v>1299</v>
      </c>
      <c r="D330" s="456" t="s">
        <v>31</v>
      </c>
      <c r="E330" s="457" t="s">
        <v>841</v>
      </c>
      <c r="F330" s="457" t="s">
        <v>20</v>
      </c>
      <c r="G330" s="457" t="s">
        <v>25</v>
      </c>
      <c r="H330" s="460" t="s">
        <v>24</v>
      </c>
      <c r="I330" s="460" t="s">
        <v>23</v>
      </c>
      <c r="J330" s="460" t="s">
        <v>34</v>
      </c>
      <c r="K330" s="461" t="s">
        <v>32</v>
      </c>
    </row>
    <row r="331" spans="3:11" ht="15.75">
      <c r="C331" s="454" t="s">
        <v>1298</v>
      </c>
      <c r="D331" s="456" t="s">
        <v>31</v>
      </c>
      <c r="E331" s="457" t="s">
        <v>841</v>
      </c>
      <c r="F331" s="457" t="s">
        <v>20</v>
      </c>
      <c r="G331" s="457" t="s">
        <v>25</v>
      </c>
      <c r="H331" s="460" t="s">
        <v>24</v>
      </c>
      <c r="I331" s="460" t="s">
        <v>23</v>
      </c>
      <c r="J331" s="460" t="s">
        <v>32</v>
      </c>
      <c r="K331" s="461" t="s">
        <v>33</v>
      </c>
    </row>
    <row r="332" spans="3:11" ht="15.75">
      <c r="C332" s="454" t="s">
        <v>1297</v>
      </c>
      <c r="D332" s="456" t="s">
        <v>23</v>
      </c>
      <c r="E332" s="457" t="s">
        <v>841</v>
      </c>
      <c r="F332" s="457" t="s">
        <v>20</v>
      </c>
      <c r="G332" s="457" t="s">
        <v>25</v>
      </c>
      <c r="H332" s="460" t="s">
        <v>24</v>
      </c>
      <c r="I332" s="460" t="s">
        <v>272</v>
      </c>
      <c r="J332" s="460" t="s">
        <v>34</v>
      </c>
      <c r="K332" s="461" t="s">
        <v>33</v>
      </c>
    </row>
    <row r="333" spans="3:11" ht="15.75">
      <c r="C333" s="454" t="s">
        <v>1296</v>
      </c>
      <c r="D333" s="456" t="s">
        <v>32</v>
      </c>
      <c r="E333" s="457" t="s">
        <v>272</v>
      </c>
      <c r="F333" s="457" t="s">
        <v>20</v>
      </c>
      <c r="G333" s="457" t="s">
        <v>25</v>
      </c>
      <c r="H333" s="460" t="s">
        <v>24</v>
      </c>
      <c r="I333" s="460" t="s">
        <v>23</v>
      </c>
      <c r="J333" s="460" t="s">
        <v>34</v>
      </c>
      <c r="K333" s="461" t="s">
        <v>33</v>
      </c>
    </row>
    <row r="334" spans="3:11" ht="15.75">
      <c r="C334" s="454" t="s">
        <v>1295</v>
      </c>
      <c r="D334" s="456" t="s">
        <v>23</v>
      </c>
      <c r="E334" s="457" t="s">
        <v>841</v>
      </c>
      <c r="F334" s="457" t="s">
        <v>20</v>
      </c>
      <c r="G334" s="457" t="s">
        <v>25</v>
      </c>
      <c r="H334" s="460" t="s">
        <v>24</v>
      </c>
      <c r="I334" s="460" t="s">
        <v>272</v>
      </c>
      <c r="J334" s="460" t="s">
        <v>34</v>
      </c>
      <c r="K334" s="461" t="s">
        <v>32</v>
      </c>
    </row>
    <row r="335" spans="3:11" ht="15.75">
      <c r="C335" s="454" t="s">
        <v>1294</v>
      </c>
      <c r="D335" s="456" t="s">
        <v>23</v>
      </c>
      <c r="E335" s="457" t="s">
        <v>841</v>
      </c>
      <c r="F335" s="457" t="s">
        <v>20</v>
      </c>
      <c r="G335" s="457" t="s">
        <v>25</v>
      </c>
      <c r="H335" s="460" t="s">
        <v>24</v>
      </c>
      <c r="I335" s="460" t="s">
        <v>272</v>
      </c>
      <c r="J335" s="460" t="s">
        <v>32</v>
      </c>
      <c r="K335" s="461" t="s">
        <v>33</v>
      </c>
    </row>
    <row r="336" spans="3:11" ht="15.75">
      <c r="C336" s="454" t="s">
        <v>1293</v>
      </c>
      <c r="D336" s="456" t="s">
        <v>31</v>
      </c>
      <c r="E336" s="457" t="s">
        <v>272</v>
      </c>
      <c r="F336" s="457" t="s">
        <v>20</v>
      </c>
      <c r="G336" s="457" t="s">
        <v>25</v>
      </c>
      <c r="H336" s="460" t="s">
        <v>24</v>
      </c>
      <c r="I336" s="460" t="s">
        <v>23</v>
      </c>
      <c r="J336" s="460" t="s">
        <v>34</v>
      </c>
      <c r="K336" s="461" t="s">
        <v>33</v>
      </c>
    </row>
    <row r="337" spans="3:11" ht="15.75">
      <c r="C337" s="454" t="s">
        <v>1292</v>
      </c>
      <c r="D337" s="456" t="s">
        <v>31</v>
      </c>
      <c r="E337" s="457" t="s">
        <v>272</v>
      </c>
      <c r="F337" s="457" t="s">
        <v>20</v>
      </c>
      <c r="G337" s="457" t="s">
        <v>25</v>
      </c>
      <c r="H337" s="460" t="s">
        <v>24</v>
      </c>
      <c r="I337" s="460" t="s">
        <v>23</v>
      </c>
      <c r="J337" s="460" t="s">
        <v>34</v>
      </c>
      <c r="K337" s="461" t="s">
        <v>841</v>
      </c>
    </row>
    <row r="338" spans="3:11" ht="15.75">
      <c r="C338" s="454" t="s">
        <v>1291</v>
      </c>
      <c r="D338" s="456" t="s">
        <v>31</v>
      </c>
      <c r="E338" s="457" t="s">
        <v>272</v>
      </c>
      <c r="F338" s="457" t="s">
        <v>20</v>
      </c>
      <c r="G338" s="457" t="s">
        <v>25</v>
      </c>
      <c r="H338" s="460" t="s">
        <v>24</v>
      </c>
      <c r="I338" s="460" t="s">
        <v>23</v>
      </c>
      <c r="J338" s="460" t="s">
        <v>841</v>
      </c>
      <c r="K338" s="461" t="s">
        <v>33</v>
      </c>
    </row>
    <row r="339" spans="3:11" ht="15.75">
      <c r="C339" s="454" t="s">
        <v>1290</v>
      </c>
      <c r="D339" s="456" t="s">
        <v>31</v>
      </c>
      <c r="E339" s="457" t="s">
        <v>272</v>
      </c>
      <c r="F339" s="457" t="s">
        <v>20</v>
      </c>
      <c r="G339" s="457" t="s">
        <v>25</v>
      </c>
      <c r="H339" s="460" t="s">
        <v>24</v>
      </c>
      <c r="I339" s="460" t="s">
        <v>23</v>
      </c>
      <c r="J339" s="460" t="s">
        <v>34</v>
      </c>
      <c r="K339" s="461" t="s">
        <v>32</v>
      </c>
    </row>
    <row r="340" spans="3:11" ht="15.75">
      <c r="C340" s="454" t="s">
        <v>1289</v>
      </c>
      <c r="D340" s="456" t="s">
        <v>31</v>
      </c>
      <c r="E340" s="457" t="s">
        <v>272</v>
      </c>
      <c r="F340" s="457" t="s">
        <v>20</v>
      </c>
      <c r="G340" s="457" t="s">
        <v>25</v>
      </c>
      <c r="H340" s="460" t="s">
        <v>24</v>
      </c>
      <c r="I340" s="460" t="s">
        <v>23</v>
      </c>
      <c r="J340" s="460" t="s">
        <v>32</v>
      </c>
      <c r="K340" s="461" t="s">
        <v>33</v>
      </c>
    </row>
    <row r="341" spans="3:11" ht="15.75">
      <c r="C341" s="454" t="s">
        <v>1288</v>
      </c>
      <c r="D341" s="456" t="s">
        <v>31</v>
      </c>
      <c r="E341" s="457" t="s">
        <v>272</v>
      </c>
      <c r="F341" s="457" t="s">
        <v>20</v>
      </c>
      <c r="G341" s="457" t="s">
        <v>25</v>
      </c>
      <c r="H341" s="460" t="s">
        <v>24</v>
      </c>
      <c r="I341" s="460" t="s">
        <v>23</v>
      </c>
      <c r="J341" s="460" t="s">
        <v>32</v>
      </c>
      <c r="K341" s="461" t="s">
        <v>841</v>
      </c>
    </row>
    <row r="342" spans="3:11" ht="15.75">
      <c r="C342" s="454" t="s">
        <v>1287</v>
      </c>
      <c r="D342" s="456" t="s">
        <v>22</v>
      </c>
      <c r="E342" s="457" t="s">
        <v>841</v>
      </c>
      <c r="F342" s="457" t="s">
        <v>20</v>
      </c>
      <c r="G342" s="457" t="s">
        <v>24</v>
      </c>
      <c r="H342" s="460" t="s">
        <v>32</v>
      </c>
      <c r="I342" s="460" t="s">
        <v>25</v>
      </c>
      <c r="J342" s="460" t="s">
        <v>34</v>
      </c>
      <c r="K342" s="461" t="s">
        <v>33</v>
      </c>
    </row>
    <row r="343" spans="3:11" ht="15.75">
      <c r="C343" s="454" t="s">
        <v>1286</v>
      </c>
      <c r="D343" s="456" t="s">
        <v>22</v>
      </c>
      <c r="E343" s="457" t="s">
        <v>841</v>
      </c>
      <c r="F343" s="457" t="s">
        <v>20</v>
      </c>
      <c r="G343" s="457" t="s">
        <v>25</v>
      </c>
      <c r="H343" s="460" t="s">
        <v>24</v>
      </c>
      <c r="I343" s="460" t="s">
        <v>31</v>
      </c>
      <c r="J343" s="460" t="s">
        <v>34</v>
      </c>
      <c r="K343" s="461" t="s">
        <v>33</v>
      </c>
    </row>
    <row r="344" spans="3:11" ht="15.75">
      <c r="C344" s="454" t="s">
        <v>1285</v>
      </c>
      <c r="D344" s="456" t="s">
        <v>22</v>
      </c>
      <c r="E344" s="457" t="s">
        <v>32</v>
      </c>
      <c r="F344" s="457" t="s">
        <v>20</v>
      </c>
      <c r="G344" s="457" t="s">
        <v>25</v>
      </c>
      <c r="H344" s="460" t="s">
        <v>24</v>
      </c>
      <c r="I344" s="460" t="s">
        <v>31</v>
      </c>
      <c r="J344" s="460" t="s">
        <v>34</v>
      </c>
      <c r="K344" s="461" t="s">
        <v>33</v>
      </c>
    </row>
    <row r="345" spans="3:11" ht="15.75">
      <c r="C345" s="454" t="s">
        <v>1284</v>
      </c>
      <c r="D345" s="456" t="s">
        <v>22</v>
      </c>
      <c r="E345" s="457" t="s">
        <v>841</v>
      </c>
      <c r="F345" s="457" t="s">
        <v>20</v>
      </c>
      <c r="G345" s="457" t="s">
        <v>25</v>
      </c>
      <c r="H345" s="460" t="s">
        <v>24</v>
      </c>
      <c r="I345" s="460" t="s">
        <v>31</v>
      </c>
      <c r="J345" s="460" t="s">
        <v>34</v>
      </c>
      <c r="K345" s="461" t="s">
        <v>32</v>
      </c>
    </row>
    <row r="346" spans="3:11" ht="15.75">
      <c r="C346" s="454" t="s">
        <v>1283</v>
      </c>
      <c r="D346" s="456" t="s">
        <v>22</v>
      </c>
      <c r="E346" s="457" t="s">
        <v>841</v>
      </c>
      <c r="F346" s="457" t="s">
        <v>20</v>
      </c>
      <c r="G346" s="457" t="s">
        <v>25</v>
      </c>
      <c r="H346" s="460" t="s">
        <v>24</v>
      </c>
      <c r="I346" s="460" t="s">
        <v>31</v>
      </c>
      <c r="J346" s="460" t="s">
        <v>32</v>
      </c>
      <c r="K346" s="461" t="s">
        <v>33</v>
      </c>
    </row>
    <row r="347" spans="3:11" ht="15.75">
      <c r="C347" s="454" t="s">
        <v>1282</v>
      </c>
      <c r="D347" s="456" t="s">
        <v>22</v>
      </c>
      <c r="E347" s="457" t="s">
        <v>841</v>
      </c>
      <c r="F347" s="457" t="s">
        <v>20</v>
      </c>
      <c r="G347" s="457" t="s">
        <v>25</v>
      </c>
      <c r="H347" s="460" t="s">
        <v>24</v>
      </c>
      <c r="I347" s="460" t="s">
        <v>272</v>
      </c>
      <c r="J347" s="460" t="s">
        <v>34</v>
      </c>
      <c r="K347" s="461" t="s">
        <v>33</v>
      </c>
    </row>
    <row r="348" spans="3:11" ht="15.75">
      <c r="C348" s="454" t="s">
        <v>1281</v>
      </c>
      <c r="D348" s="456" t="s">
        <v>22</v>
      </c>
      <c r="E348" s="457" t="s">
        <v>272</v>
      </c>
      <c r="F348" s="457" t="s">
        <v>20</v>
      </c>
      <c r="G348" s="457" t="s">
        <v>24</v>
      </c>
      <c r="H348" s="460" t="s">
        <v>32</v>
      </c>
      <c r="I348" s="460" t="s">
        <v>25</v>
      </c>
      <c r="J348" s="460" t="s">
        <v>34</v>
      </c>
      <c r="K348" s="461" t="s">
        <v>33</v>
      </c>
    </row>
    <row r="349" spans="3:11" ht="15.75">
      <c r="C349" s="454" t="s">
        <v>1280</v>
      </c>
      <c r="D349" s="456" t="s">
        <v>22</v>
      </c>
      <c r="E349" s="457" t="s">
        <v>841</v>
      </c>
      <c r="F349" s="457" t="s">
        <v>20</v>
      </c>
      <c r="G349" s="457" t="s">
        <v>25</v>
      </c>
      <c r="H349" s="460" t="s">
        <v>24</v>
      </c>
      <c r="I349" s="460" t="s">
        <v>272</v>
      </c>
      <c r="J349" s="460" t="s">
        <v>34</v>
      </c>
      <c r="K349" s="461" t="s">
        <v>32</v>
      </c>
    </row>
    <row r="350" spans="3:11" ht="15.75">
      <c r="C350" s="454" t="s">
        <v>1279</v>
      </c>
      <c r="D350" s="456" t="s">
        <v>22</v>
      </c>
      <c r="E350" s="457" t="s">
        <v>841</v>
      </c>
      <c r="F350" s="457" t="s">
        <v>20</v>
      </c>
      <c r="G350" s="457" t="s">
        <v>25</v>
      </c>
      <c r="H350" s="460" t="s">
        <v>24</v>
      </c>
      <c r="I350" s="460" t="s">
        <v>272</v>
      </c>
      <c r="J350" s="460" t="s">
        <v>32</v>
      </c>
      <c r="K350" s="461" t="s">
        <v>33</v>
      </c>
    </row>
    <row r="351" spans="3:11" ht="15.75">
      <c r="C351" s="454" t="s">
        <v>1278</v>
      </c>
      <c r="D351" s="456" t="s">
        <v>22</v>
      </c>
      <c r="E351" s="457" t="s">
        <v>272</v>
      </c>
      <c r="F351" s="457" t="s">
        <v>20</v>
      </c>
      <c r="G351" s="457" t="s">
        <v>25</v>
      </c>
      <c r="H351" s="460" t="s">
        <v>24</v>
      </c>
      <c r="I351" s="460" t="s">
        <v>31</v>
      </c>
      <c r="J351" s="460" t="s">
        <v>34</v>
      </c>
      <c r="K351" s="461" t="s">
        <v>33</v>
      </c>
    </row>
    <row r="352" spans="3:11" ht="15.75">
      <c r="C352" s="454" t="s">
        <v>1277</v>
      </c>
      <c r="D352" s="456" t="s">
        <v>31</v>
      </c>
      <c r="E352" s="457" t="s">
        <v>841</v>
      </c>
      <c r="F352" s="457" t="s">
        <v>20</v>
      </c>
      <c r="G352" s="457" t="s">
        <v>25</v>
      </c>
      <c r="H352" s="460" t="s">
        <v>24</v>
      </c>
      <c r="I352" s="460" t="s">
        <v>272</v>
      </c>
      <c r="J352" s="460" t="s">
        <v>34</v>
      </c>
      <c r="K352" s="461" t="s">
        <v>22</v>
      </c>
    </row>
    <row r="353" spans="3:11" ht="15.75">
      <c r="C353" s="454" t="s">
        <v>1276</v>
      </c>
      <c r="D353" s="456" t="s">
        <v>31</v>
      </c>
      <c r="E353" s="457" t="s">
        <v>841</v>
      </c>
      <c r="F353" s="457" t="s">
        <v>20</v>
      </c>
      <c r="G353" s="457" t="s">
        <v>25</v>
      </c>
      <c r="H353" s="460" t="s">
        <v>24</v>
      </c>
      <c r="I353" s="460" t="s">
        <v>272</v>
      </c>
      <c r="J353" s="460" t="s">
        <v>22</v>
      </c>
      <c r="K353" s="461" t="s">
        <v>33</v>
      </c>
    </row>
    <row r="354" spans="3:11" ht="15.75">
      <c r="C354" s="454" t="s">
        <v>1275</v>
      </c>
      <c r="D354" s="456" t="s">
        <v>22</v>
      </c>
      <c r="E354" s="457" t="s">
        <v>272</v>
      </c>
      <c r="F354" s="457" t="s">
        <v>20</v>
      </c>
      <c r="G354" s="457" t="s">
        <v>25</v>
      </c>
      <c r="H354" s="460" t="s">
        <v>24</v>
      </c>
      <c r="I354" s="460" t="s">
        <v>31</v>
      </c>
      <c r="J354" s="460" t="s">
        <v>34</v>
      </c>
      <c r="K354" s="461" t="s">
        <v>32</v>
      </c>
    </row>
    <row r="355" spans="3:11" ht="15.75">
      <c r="C355" s="454" t="s">
        <v>1274</v>
      </c>
      <c r="D355" s="456" t="s">
        <v>22</v>
      </c>
      <c r="E355" s="457" t="s">
        <v>272</v>
      </c>
      <c r="F355" s="457" t="s">
        <v>20</v>
      </c>
      <c r="G355" s="457" t="s">
        <v>25</v>
      </c>
      <c r="H355" s="460" t="s">
        <v>24</v>
      </c>
      <c r="I355" s="460" t="s">
        <v>31</v>
      </c>
      <c r="J355" s="460" t="s">
        <v>32</v>
      </c>
      <c r="K355" s="461" t="s">
        <v>33</v>
      </c>
    </row>
    <row r="356" spans="3:11" ht="15.75">
      <c r="C356" s="454" t="s">
        <v>1273</v>
      </c>
      <c r="D356" s="456" t="s">
        <v>31</v>
      </c>
      <c r="E356" s="457" t="s">
        <v>841</v>
      </c>
      <c r="F356" s="457" t="s">
        <v>20</v>
      </c>
      <c r="G356" s="457" t="s">
        <v>25</v>
      </c>
      <c r="H356" s="460" t="s">
        <v>24</v>
      </c>
      <c r="I356" s="460" t="s">
        <v>272</v>
      </c>
      <c r="J356" s="460" t="s">
        <v>22</v>
      </c>
      <c r="K356" s="461" t="s">
        <v>32</v>
      </c>
    </row>
    <row r="357" spans="3:11" ht="15.75">
      <c r="C357" s="454" t="s">
        <v>1272</v>
      </c>
      <c r="D357" s="456" t="s">
        <v>22</v>
      </c>
      <c r="E357" s="457" t="s">
        <v>841</v>
      </c>
      <c r="F357" s="457" t="s">
        <v>20</v>
      </c>
      <c r="G357" s="457" t="s">
        <v>25</v>
      </c>
      <c r="H357" s="460" t="s">
        <v>24</v>
      </c>
      <c r="I357" s="460" t="s">
        <v>23</v>
      </c>
      <c r="J357" s="460" t="s">
        <v>34</v>
      </c>
      <c r="K357" s="461" t="s">
        <v>33</v>
      </c>
    </row>
    <row r="358" spans="3:11" ht="15.75">
      <c r="C358" s="454" t="s">
        <v>1271</v>
      </c>
      <c r="D358" s="456" t="s">
        <v>22</v>
      </c>
      <c r="E358" s="457" t="s">
        <v>32</v>
      </c>
      <c r="F358" s="457" t="s">
        <v>20</v>
      </c>
      <c r="G358" s="457" t="s">
        <v>25</v>
      </c>
      <c r="H358" s="460" t="s">
        <v>24</v>
      </c>
      <c r="I358" s="460" t="s">
        <v>23</v>
      </c>
      <c r="J358" s="460" t="s">
        <v>34</v>
      </c>
      <c r="K358" s="461" t="s">
        <v>33</v>
      </c>
    </row>
    <row r="359" spans="3:11" ht="15.75">
      <c r="C359" s="454" t="s">
        <v>1270</v>
      </c>
      <c r="D359" s="456" t="s">
        <v>22</v>
      </c>
      <c r="E359" s="457" t="s">
        <v>841</v>
      </c>
      <c r="F359" s="457" t="s">
        <v>20</v>
      </c>
      <c r="G359" s="457" t="s">
        <v>25</v>
      </c>
      <c r="H359" s="460" t="s">
        <v>24</v>
      </c>
      <c r="I359" s="460" t="s">
        <v>23</v>
      </c>
      <c r="J359" s="460" t="s">
        <v>34</v>
      </c>
      <c r="K359" s="461" t="s">
        <v>32</v>
      </c>
    </row>
    <row r="360" spans="3:11" ht="15.75">
      <c r="C360" s="454" t="s">
        <v>1269</v>
      </c>
      <c r="D360" s="456" t="s">
        <v>22</v>
      </c>
      <c r="E360" s="457" t="s">
        <v>841</v>
      </c>
      <c r="F360" s="457" t="s">
        <v>20</v>
      </c>
      <c r="G360" s="457" t="s">
        <v>25</v>
      </c>
      <c r="H360" s="460" t="s">
        <v>24</v>
      </c>
      <c r="I360" s="460" t="s">
        <v>23</v>
      </c>
      <c r="J360" s="460" t="s">
        <v>32</v>
      </c>
      <c r="K360" s="461" t="s">
        <v>33</v>
      </c>
    </row>
    <row r="361" spans="3:11" ht="15.75">
      <c r="C361" s="454" t="s">
        <v>1268</v>
      </c>
      <c r="D361" s="456" t="s">
        <v>31</v>
      </c>
      <c r="E361" s="457" t="s">
        <v>22</v>
      </c>
      <c r="F361" s="457" t="s">
        <v>20</v>
      </c>
      <c r="G361" s="457" t="s">
        <v>25</v>
      </c>
      <c r="H361" s="460" t="s">
        <v>24</v>
      </c>
      <c r="I361" s="460" t="s">
        <v>23</v>
      </c>
      <c r="J361" s="460" t="s">
        <v>34</v>
      </c>
      <c r="K361" s="461" t="s">
        <v>33</v>
      </c>
    </row>
    <row r="362" spans="3:11" ht="15.75">
      <c r="C362" s="454" t="s">
        <v>1267</v>
      </c>
      <c r="D362" s="456" t="s">
        <v>31</v>
      </c>
      <c r="E362" s="457" t="s">
        <v>841</v>
      </c>
      <c r="F362" s="457" t="s">
        <v>20</v>
      </c>
      <c r="G362" s="457" t="s">
        <v>25</v>
      </c>
      <c r="H362" s="460" t="s">
        <v>24</v>
      </c>
      <c r="I362" s="460" t="s">
        <v>23</v>
      </c>
      <c r="J362" s="460" t="s">
        <v>34</v>
      </c>
      <c r="K362" s="461" t="s">
        <v>22</v>
      </c>
    </row>
    <row r="363" spans="3:11" ht="15.75">
      <c r="C363" s="454" t="s">
        <v>1266</v>
      </c>
      <c r="D363" s="456" t="s">
        <v>31</v>
      </c>
      <c r="E363" s="457" t="s">
        <v>841</v>
      </c>
      <c r="F363" s="457" t="s">
        <v>20</v>
      </c>
      <c r="G363" s="457" t="s">
        <v>25</v>
      </c>
      <c r="H363" s="460" t="s">
        <v>24</v>
      </c>
      <c r="I363" s="460" t="s">
        <v>23</v>
      </c>
      <c r="J363" s="460" t="s">
        <v>22</v>
      </c>
      <c r="K363" s="461" t="s">
        <v>33</v>
      </c>
    </row>
    <row r="364" spans="3:11" ht="15.75">
      <c r="C364" s="454" t="s">
        <v>1265</v>
      </c>
      <c r="D364" s="456" t="s">
        <v>31</v>
      </c>
      <c r="E364" s="457" t="s">
        <v>22</v>
      </c>
      <c r="F364" s="457" t="s">
        <v>20</v>
      </c>
      <c r="G364" s="457" t="s">
        <v>25</v>
      </c>
      <c r="H364" s="460" t="s">
        <v>24</v>
      </c>
      <c r="I364" s="460" t="s">
        <v>23</v>
      </c>
      <c r="J364" s="460" t="s">
        <v>34</v>
      </c>
      <c r="K364" s="461" t="s">
        <v>32</v>
      </c>
    </row>
    <row r="365" spans="3:11" ht="15.75">
      <c r="C365" s="454" t="s">
        <v>1264</v>
      </c>
      <c r="D365" s="456" t="s">
        <v>31</v>
      </c>
      <c r="E365" s="457" t="s">
        <v>22</v>
      </c>
      <c r="F365" s="457" t="s">
        <v>20</v>
      </c>
      <c r="G365" s="457" t="s">
        <v>25</v>
      </c>
      <c r="H365" s="460" t="s">
        <v>24</v>
      </c>
      <c r="I365" s="460" t="s">
        <v>23</v>
      </c>
      <c r="J365" s="460" t="s">
        <v>32</v>
      </c>
      <c r="K365" s="461" t="s">
        <v>33</v>
      </c>
    </row>
    <row r="366" spans="3:11" ht="15.75">
      <c r="C366" s="454" t="s">
        <v>1263</v>
      </c>
      <c r="D366" s="456" t="s">
        <v>31</v>
      </c>
      <c r="E366" s="457" t="s">
        <v>841</v>
      </c>
      <c r="F366" s="457" t="s">
        <v>20</v>
      </c>
      <c r="G366" s="457" t="s">
        <v>25</v>
      </c>
      <c r="H366" s="460" t="s">
        <v>24</v>
      </c>
      <c r="I366" s="460" t="s">
        <v>23</v>
      </c>
      <c r="J366" s="460" t="s">
        <v>22</v>
      </c>
      <c r="K366" s="461" t="s">
        <v>32</v>
      </c>
    </row>
    <row r="367" spans="3:11" ht="15.75">
      <c r="C367" s="454" t="s">
        <v>1262</v>
      </c>
      <c r="D367" s="456" t="s">
        <v>22</v>
      </c>
      <c r="E367" s="457" t="s">
        <v>272</v>
      </c>
      <c r="F367" s="457" t="s">
        <v>20</v>
      </c>
      <c r="G367" s="457" t="s">
        <v>25</v>
      </c>
      <c r="H367" s="460" t="s">
        <v>24</v>
      </c>
      <c r="I367" s="460" t="s">
        <v>23</v>
      </c>
      <c r="J367" s="460" t="s">
        <v>34</v>
      </c>
      <c r="K367" s="461" t="s">
        <v>33</v>
      </c>
    </row>
    <row r="368" spans="3:11" ht="15.75">
      <c r="C368" s="454" t="s">
        <v>1261</v>
      </c>
      <c r="D368" s="456" t="s">
        <v>22</v>
      </c>
      <c r="E368" s="457" t="s">
        <v>272</v>
      </c>
      <c r="F368" s="457" t="s">
        <v>20</v>
      </c>
      <c r="G368" s="457" t="s">
        <v>25</v>
      </c>
      <c r="H368" s="460" t="s">
        <v>24</v>
      </c>
      <c r="I368" s="460" t="s">
        <v>23</v>
      </c>
      <c r="J368" s="460" t="s">
        <v>34</v>
      </c>
      <c r="K368" s="461" t="s">
        <v>841</v>
      </c>
    </row>
    <row r="369" spans="3:11" ht="15.75">
      <c r="C369" s="454" t="s">
        <v>1260</v>
      </c>
      <c r="D369" s="456" t="s">
        <v>22</v>
      </c>
      <c r="E369" s="457" t="s">
        <v>272</v>
      </c>
      <c r="F369" s="457" t="s">
        <v>20</v>
      </c>
      <c r="G369" s="457" t="s">
        <v>25</v>
      </c>
      <c r="H369" s="460" t="s">
        <v>24</v>
      </c>
      <c r="I369" s="460" t="s">
        <v>23</v>
      </c>
      <c r="J369" s="460" t="s">
        <v>841</v>
      </c>
      <c r="K369" s="461" t="s">
        <v>33</v>
      </c>
    </row>
    <row r="370" spans="3:11" ht="15.75">
      <c r="C370" s="454" t="s">
        <v>1259</v>
      </c>
      <c r="D370" s="456" t="s">
        <v>22</v>
      </c>
      <c r="E370" s="457" t="s">
        <v>272</v>
      </c>
      <c r="F370" s="457" t="s">
        <v>20</v>
      </c>
      <c r="G370" s="457" t="s">
        <v>25</v>
      </c>
      <c r="H370" s="460" t="s">
        <v>24</v>
      </c>
      <c r="I370" s="460" t="s">
        <v>23</v>
      </c>
      <c r="J370" s="460" t="s">
        <v>34</v>
      </c>
      <c r="K370" s="461" t="s">
        <v>32</v>
      </c>
    </row>
    <row r="371" spans="3:11" ht="15.75">
      <c r="C371" s="454" t="s">
        <v>1258</v>
      </c>
      <c r="D371" s="456" t="s">
        <v>22</v>
      </c>
      <c r="E371" s="457" t="s">
        <v>272</v>
      </c>
      <c r="F371" s="457" t="s">
        <v>20</v>
      </c>
      <c r="G371" s="457" t="s">
        <v>25</v>
      </c>
      <c r="H371" s="460" t="s">
        <v>24</v>
      </c>
      <c r="I371" s="460" t="s">
        <v>23</v>
      </c>
      <c r="J371" s="460" t="s">
        <v>32</v>
      </c>
      <c r="K371" s="461" t="s">
        <v>33</v>
      </c>
    </row>
    <row r="372" spans="3:11" ht="15.75">
      <c r="C372" s="454" t="s">
        <v>1257</v>
      </c>
      <c r="D372" s="456" t="s">
        <v>22</v>
      </c>
      <c r="E372" s="457" t="s">
        <v>272</v>
      </c>
      <c r="F372" s="457" t="s">
        <v>20</v>
      </c>
      <c r="G372" s="457" t="s">
        <v>25</v>
      </c>
      <c r="H372" s="460" t="s">
        <v>24</v>
      </c>
      <c r="I372" s="460" t="s">
        <v>23</v>
      </c>
      <c r="J372" s="460" t="s">
        <v>32</v>
      </c>
      <c r="K372" s="461" t="s">
        <v>841</v>
      </c>
    </row>
    <row r="373" spans="3:11" ht="15.75">
      <c r="C373" s="454" t="s">
        <v>1256</v>
      </c>
      <c r="D373" s="456" t="s">
        <v>31</v>
      </c>
      <c r="E373" s="457" t="s">
        <v>272</v>
      </c>
      <c r="F373" s="457" t="s">
        <v>20</v>
      </c>
      <c r="G373" s="457" t="s">
        <v>25</v>
      </c>
      <c r="H373" s="460" t="s">
        <v>24</v>
      </c>
      <c r="I373" s="460" t="s">
        <v>23</v>
      </c>
      <c r="J373" s="460" t="s">
        <v>34</v>
      </c>
      <c r="K373" s="461" t="s">
        <v>22</v>
      </c>
    </row>
    <row r="374" spans="3:11" ht="15.75">
      <c r="C374" s="454" t="s">
        <v>1255</v>
      </c>
      <c r="D374" s="456" t="s">
        <v>31</v>
      </c>
      <c r="E374" s="457" t="s">
        <v>272</v>
      </c>
      <c r="F374" s="457" t="s">
        <v>20</v>
      </c>
      <c r="G374" s="457" t="s">
        <v>25</v>
      </c>
      <c r="H374" s="460" t="s">
        <v>24</v>
      </c>
      <c r="I374" s="460" t="s">
        <v>23</v>
      </c>
      <c r="J374" s="460" t="s">
        <v>22</v>
      </c>
      <c r="K374" s="461" t="s">
        <v>33</v>
      </c>
    </row>
    <row r="375" spans="3:11" ht="15.75">
      <c r="C375" s="454" t="s">
        <v>1254</v>
      </c>
      <c r="D375" s="456" t="s">
        <v>31</v>
      </c>
      <c r="E375" s="457" t="s">
        <v>272</v>
      </c>
      <c r="F375" s="457" t="s">
        <v>20</v>
      </c>
      <c r="G375" s="457" t="s">
        <v>25</v>
      </c>
      <c r="H375" s="460" t="s">
        <v>24</v>
      </c>
      <c r="I375" s="460" t="s">
        <v>23</v>
      </c>
      <c r="J375" s="460" t="s">
        <v>22</v>
      </c>
      <c r="K375" s="461" t="s">
        <v>841</v>
      </c>
    </row>
    <row r="376" spans="3:11" ht="15.75">
      <c r="C376" s="454" t="s">
        <v>1253</v>
      </c>
      <c r="D376" s="456" t="s">
        <v>31</v>
      </c>
      <c r="E376" s="457" t="s">
        <v>272</v>
      </c>
      <c r="F376" s="457" t="s">
        <v>20</v>
      </c>
      <c r="G376" s="457" t="s">
        <v>25</v>
      </c>
      <c r="H376" s="460" t="s">
        <v>24</v>
      </c>
      <c r="I376" s="460" t="s">
        <v>23</v>
      </c>
      <c r="J376" s="460" t="s">
        <v>22</v>
      </c>
      <c r="K376" s="461" t="s">
        <v>32</v>
      </c>
    </row>
    <row r="377" spans="3:11" ht="15.75">
      <c r="C377" s="454" t="s">
        <v>1252</v>
      </c>
      <c r="D377" s="456" t="s">
        <v>32</v>
      </c>
      <c r="E377" s="457" t="s">
        <v>841</v>
      </c>
      <c r="F377" s="457" t="s">
        <v>20</v>
      </c>
      <c r="G377" s="457" t="s">
        <v>21</v>
      </c>
      <c r="H377" s="460" t="s">
        <v>24</v>
      </c>
      <c r="I377" s="460" t="s">
        <v>31</v>
      </c>
      <c r="J377" s="460" t="s">
        <v>34</v>
      </c>
      <c r="K377" s="461" t="s">
        <v>33</v>
      </c>
    </row>
    <row r="378" spans="3:11" ht="15.75">
      <c r="C378" s="454" t="s">
        <v>1251</v>
      </c>
      <c r="D378" s="456" t="s">
        <v>32</v>
      </c>
      <c r="E378" s="457" t="s">
        <v>841</v>
      </c>
      <c r="F378" s="457" t="s">
        <v>20</v>
      </c>
      <c r="G378" s="457" t="s">
        <v>21</v>
      </c>
      <c r="H378" s="460" t="s">
        <v>24</v>
      </c>
      <c r="I378" s="460" t="s">
        <v>272</v>
      </c>
      <c r="J378" s="460" t="s">
        <v>34</v>
      </c>
      <c r="K378" s="461" t="s">
        <v>33</v>
      </c>
    </row>
    <row r="379" spans="3:11" ht="15.75">
      <c r="C379" s="454" t="s">
        <v>1250</v>
      </c>
      <c r="D379" s="456" t="s">
        <v>31</v>
      </c>
      <c r="E379" s="457" t="s">
        <v>841</v>
      </c>
      <c r="F379" s="457" t="s">
        <v>20</v>
      </c>
      <c r="G379" s="457" t="s">
        <v>21</v>
      </c>
      <c r="H379" s="460" t="s">
        <v>24</v>
      </c>
      <c r="I379" s="460" t="s">
        <v>272</v>
      </c>
      <c r="J379" s="460" t="s">
        <v>34</v>
      </c>
      <c r="K379" s="461" t="s">
        <v>33</v>
      </c>
    </row>
    <row r="380" spans="3:11" ht="15.75">
      <c r="C380" s="454" t="s">
        <v>1249</v>
      </c>
      <c r="D380" s="456" t="s">
        <v>32</v>
      </c>
      <c r="E380" s="457" t="s">
        <v>272</v>
      </c>
      <c r="F380" s="457" t="s">
        <v>20</v>
      </c>
      <c r="G380" s="457" t="s">
        <v>21</v>
      </c>
      <c r="H380" s="460" t="s">
        <v>24</v>
      </c>
      <c r="I380" s="460" t="s">
        <v>31</v>
      </c>
      <c r="J380" s="460" t="s">
        <v>34</v>
      </c>
      <c r="K380" s="461" t="s">
        <v>33</v>
      </c>
    </row>
    <row r="381" spans="3:11" ht="15.75">
      <c r="C381" s="454" t="s">
        <v>1248</v>
      </c>
      <c r="D381" s="456" t="s">
        <v>31</v>
      </c>
      <c r="E381" s="457" t="s">
        <v>841</v>
      </c>
      <c r="F381" s="457" t="s">
        <v>20</v>
      </c>
      <c r="G381" s="457" t="s">
        <v>21</v>
      </c>
      <c r="H381" s="460" t="s">
        <v>24</v>
      </c>
      <c r="I381" s="460" t="s">
        <v>272</v>
      </c>
      <c r="J381" s="460" t="s">
        <v>34</v>
      </c>
      <c r="K381" s="461" t="s">
        <v>32</v>
      </c>
    </row>
    <row r="382" spans="3:11" ht="15.75">
      <c r="C382" s="454" t="s">
        <v>1247</v>
      </c>
      <c r="D382" s="456" t="s">
        <v>31</v>
      </c>
      <c r="E382" s="457" t="s">
        <v>841</v>
      </c>
      <c r="F382" s="457" t="s">
        <v>20</v>
      </c>
      <c r="G382" s="457" t="s">
        <v>21</v>
      </c>
      <c r="H382" s="460" t="s">
        <v>24</v>
      </c>
      <c r="I382" s="460" t="s">
        <v>272</v>
      </c>
      <c r="J382" s="460" t="s">
        <v>32</v>
      </c>
      <c r="K382" s="461" t="s">
        <v>33</v>
      </c>
    </row>
    <row r="383" spans="3:11" ht="15.75">
      <c r="C383" s="454" t="s">
        <v>1246</v>
      </c>
      <c r="D383" s="456" t="s">
        <v>32</v>
      </c>
      <c r="E383" s="457" t="s">
        <v>841</v>
      </c>
      <c r="F383" s="457" t="s">
        <v>20</v>
      </c>
      <c r="G383" s="457" t="s">
        <v>21</v>
      </c>
      <c r="H383" s="460" t="s">
        <v>24</v>
      </c>
      <c r="I383" s="460" t="s">
        <v>23</v>
      </c>
      <c r="J383" s="460" t="s">
        <v>34</v>
      </c>
      <c r="K383" s="461" t="s">
        <v>33</v>
      </c>
    </row>
    <row r="384" spans="3:11" ht="15.75">
      <c r="C384" s="454" t="s">
        <v>1245</v>
      </c>
      <c r="D384" s="456" t="s">
        <v>31</v>
      </c>
      <c r="E384" s="457" t="s">
        <v>841</v>
      </c>
      <c r="F384" s="457" t="s">
        <v>20</v>
      </c>
      <c r="G384" s="457" t="s">
        <v>21</v>
      </c>
      <c r="H384" s="460" t="s">
        <v>24</v>
      </c>
      <c r="I384" s="460" t="s">
        <v>23</v>
      </c>
      <c r="J384" s="460" t="s">
        <v>34</v>
      </c>
      <c r="K384" s="461" t="s">
        <v>33</v>
      </c>
    </row>
    <row r="385" spans="3:11" ht="15.75">
      <c r="C385" s="454" t="s">
        <v>1244</v>
      </c>
      <c r="D385" s="456" t="s">
        <v>31</v>
      </c>
      <c r="E385" s="457" t="s">
        <v>32</v>
      </c>
      <c r="F385" s="457" t="s">
        <v>20</v>
      </c>
      <c r="G385" s="457" t="s">
        <v>21</v>
      </c>
      <c r="H385" s="460" t="s">
        <v>24</v>
      </c>
      <c r="I385" s="460" t="s">
        <v>23</v>
      </c>
      <c r="J385" s="460" t="s">
        <v>34</v>
      </c>
      <c r="K385" s="461" t="s">
        <v>33</v>
      </c>
    </row>
    <row r="386" spans="3:11" ht="15.75">
      <c r="C386" s="454" t="s">
        <v>1243</v>
      </c>
      <c r="D386" s="456" t="s">
        <v>31</v>
      </c>
      <c r="E386" s="457" t="s">
        <v>841</v>
      </c>
      <c r="F386" s="457" t="s">
        <v>20</v>
      </c>
      <c r="G386" s="457" t="s">
        <v>21</v>
      </c>
      <c r="H386" s="460" t="s">
        <v>24</v>
      </c>
      <c r="I386" s="460" t="s">
        <v>23</v>
      </c>
      <c r="J386" s="460" t="s">
        <v>34</v>
      </c>
      <c r="K386" s="461" t="s">
        <v>32</v>
      </c>
    </row>
    <row r="387" spans="3:11" ht="15.75">
      <c r="C387" s="454" t="s">
        <v>1242</v>
      </c>
      <c r="D387" s="456" t="s">
        <v>31</v>
      </c>
      <c r="E387" s="457" t="s">
        <v>841</v>
      </c>
      <c r="F387" s="457" t="s">
        <v>20</v>
      </c>
      <c r="G387" s="457" t="s">
        <v>21</v>
      </c>
      <c r="H387" s="460" t="s">
        <v>24</v>
      </c>
      <c r="I387" s="460" t="s">
        <v>23</v>
      </c>
      <c r="J387" s="460" t="s">
        <v>32</v>
      </c>
      <c r="K387" s="461" t="s">
        <v>33</v>
      </c>
    </row>
    <row r="388" spans="3:11" ht="15.75">
      <c r="C388" s="454" t="s">
        <v>1241</v>
      </c>
      <c r="D388" s="456" t="s">
        <v>21</v>
      </c>
      <c r="E388" s="457" t="s">
        <v>841</v>
      </c>
      <c r="F388" s="457" t="s">
        <v>20</v>
      </c>
      <c r="G388" s="457" t="s">
        <v>23</v>
      </c>
      <c r="H388" s="460" t="s">
        <v>24</v>
      </c>
      <c r="I388" s="460" t="s">
        <v>272</v>
      </c>
      <c r="J388" s="460" t="s">
        <v>34</v>
      </c>
      <c r="K388" s="461" t="s">
        <v>33</v>
      </c>
    </row>
    <row r="389" spans="3:11" ht="15.75">
      <c r="C389" s="454" t="s">
        <v>1240</v>
      </c>
      <c r="D389" s="456" t="s">
        <v>32</v>
      </c>
      <c r="E389" s="457" t="s">
        <v>272</v>
      </c>
      <c r="F389" s="457" t="s">
        <v>20</v>
      </c>
      <c r="G389" s="457" t="s">
        <v>21</v>
      </c>
      <c r="H389" s="460" t="s">
        <v>24</v>
      </c>
      <c r="I389" s="460" t="s">
        <v>23</v>
      </c>
      <c r="J389" s="460" t="s">
        <v>34</v>
      </c>
      <c r="K389" s="461" t="s">
        <v>33</v>
      </c>
    </row>
    <row r="390" spans="3:11" ht="15.75">
      <c r="C390" s="454" t="s">
        <v>1239</v>
      </c>
      <c r="D390" s="456" t="s">
        <v>21</v>
      </c>
      <c r="E390" s="457" t="s">
        <v>841</v>
      </c>
      <c r="F390" s="457" t="s">
        <v>20</v>
      </c>
      <c r="G390" s="457" t="s">
        <v>23</v>
      </c>
      <c r="H390" s="460" t="s">
        <v>24</v>
      </c>
      <c r="I390" s="460" t="s">
        <v>272</v>
      </c>
      <c r="J390" s="460" t="s">
        <v>34</v>
      </c>
      <c r="K390" s="461" t="s">
        <v>32</v>
      </c>
    </row>
    <row r="391" spans="3:11" ht="15.75">
      <c r="C391" s="454" t="s">
        <v>1238</v>
      </c>
      <c r="D391" s="456" t="s">
        <v>21</v>
      </c>
      <c r="E391" s="457" t="s">
        <v>841</v>
      </c>
      <c r="F391" s="457" t="s">
        <v>20</v>
      </c>
      <c r="G391" s="457" t="s">
        <v>23</v>
      </c>
      <c r="H391" s="460" t="s">
        <v>24</v>
      </c>
      <c r="I391" s="460" t="s">
        <v>272</v>
      </c>
      <c r="J391" s="460" t="s">
        <v>32</v>
      </c>
      <c r="K391" s="461" t="s">
        <v>33</v>
      </c>
    </row>
    <row r="392" spans="3:11" ht="15.75">
      <c r="C392" s="454" t="s">
        <v>1237</v>
      </c>
      <c r="D392" s="456" t="s">
        <v>31</v>
      </c>
      <c r="E392" s="457" t="s">
        <v>272</v>
      </c>
      <c r="F392" s="457" t="s">
        <v>20</v>
      </c>
      <c r="G392" s="457" t="s">
        <v>21</v>
      </c>
      <c r="H392" s="460" t="s">
        <v>24</v>
      </c>
      <c r="I392" s="460" t="s">
        <v>23</v>
      </c>
      <c r="J392" s="460" t="s">
        <v>34</v>
      </c>
      <c r="K392" s="461" t="s">
        <v>33</v>
      </c>
    </row>
    <row r="393" spans="3:11" ht="15.75">
      <c r="C393" s="454" t="s">
        <v>1236</v>
      </c>
      <c r="D393" s="456" t="s">
        <v>31</v>
      </c>
      <c r="E393" s="457" t="s">
        <v>272</v>
      </c>
      <c r="F393" s="457" t="s">
        <v>20</v>
      </c>
      <c r="G393" s="457" t="s">
        <v>21</v>
      </c>
      <c r="H393" s="460" t="s">
        <v>24</v>
      </c>
      <c r="I393" s="460" t="s">
        <v>23</v>
      </c>
      <c r="J393" s="460" t="s">
        <v>34</v>
      </c>
      <c r="K393" s="461" t="s">
        <v>841</v>
      </c>
    </row>
    <row r="394" spans="3:11" ht="15.75">
      <c r="C394" s="454" t="s">
        <v>1235</v>
      </c>
      <c r="D394" s="456" t="s">
        <v>31</v>
      </c>
      <c r="E394" s="457" t="s">
        <v>272</v>
      </c>
      <c r="F394" s="457" t="s">
        <v>20</v>
      </c>
      <c r="G394" s="457" t="s">
        <v>21</v>
      </c>
      <c r="H394" s="460" t="s">
        <v>24</v>
      </c>
      <c r="I394" s="460" t="s">
        <v>23</v>
      </c>
      <c r="J394" s="460" t="s">
        <v>841</v>
      </c>
      <c r="K394" s="461" t="s">
        <v>33</v>
      </c>
    </row>
    <row r="395" spans="3:11" ht="15.75">
      <c r="C395" s="454" t="s">
        <v>1234</v>
      </c>
      <c r="D395" s="456" t="s">
        <v>31</v>
      </c>
      <c r="E395" s="457" t="s">
        <v>272</v>
      </c>
      <c r="F395" s="457" t="s">
        <v>20</v>
      </c>
      <c r="G395" s="457" t="s">
        <v>21</v>
      </c>
      <c r="H395" s="460" t="s">
        <v>24</v>
      </c>
      <c r="I395" s="460" t="s">
        <v>23</v>
      </c>
      <c r="J395" s="460" t="s">
        <v>34</v>
      </c>
      <c r="K395" s="461" t="s">
        <v>32</v>
      </c>
    </row>
    <row r="396" spans="3:11" ht="15.75">
      <c r="C396" s="454" t="s">
        <v>1233</v>
      </c>
      <c r="D396" s="456" t="s">
        <v>31</v>
      </c>
      <c r="E396" s="457" t="s">
        <v>272</v>
      </c>
      <c r="F396" s="457" t="s">
        <v>20</v>
      </c>
      <c r="G396" s="457" t="s">
        <v>21</v>
      </c>
      <c r="H396" s="460" t="s">
        <v>24</v>
      </c>
      <c r="I396" s="460" t="s">
        <v>23</v>
      </c>
      <c r="J396" s="460" t="s">
        <v>32</v>
      </c>
      <c r="K396" s="461" t="s">
        <v>33</v>
      </c>
    </row>
    <row r="397" spans="3:11" ht="15.75">
      <c r="C397" s="454" t="s">
        <v>1232</v>
      </c>
      <c r="D397" s="456" t="s">
        <v>31</v>
      </c>
      <c r="E397" s="457" t="s">
        <v>272</v>
      </c>
      <c r="F397" s="457" t="s">
        <v>20</v>
      </c>
      <c r="G397" s="457" t="s">
        <v>21</v>
      </c>
      <c r="H397" s="460" t="s">
        <v>24</v>
      </c>
      <c r="I397" s="460" t="s">
        <v>23</v>
      </c>
      <c r="J397" s="460" t="s">
        <v>32</v>
      </c>
      <c r="K397" s="461" t="s">
        <v>841</v>
      </c>
    </row>
    <row r="398" spans="3:11" ht="15.75">
      <c r="C398" s="454" t="s">
        <v>1231</v>
      </c>
      <c r="D398" s="456" t="s">
        <v>22</v>
      </c>
      <c r="E398" s="457" t="s">
        <v>841</v>
      </c>
      <c r="F398" s="457" t="s">
        <v>20</v>
      </c>
      <c r="G398" s="457" t="s">
        <v>24</v>
      </c>
      <c r="H398" s="460" t="s">
        <v>32</v>
      </c>
      <c r="I398" s="460" t="s">
        <v>21</v>
      </c>
      <c r="J398" s="460" t="s">
        <v>34</v>
      </c>
      <c r="K398" s="461" t="s">
        <v>33</v>
      </c>
    </row>
    <row r="399" spans="3:11" ht="15.75">
      <c r="C399" s="454" t="s">
        <v>1230</v>
      </c>
      <c r="D399" s="456" t="s">
        <v>22</v>
      </c>
      <c r="E399" s="457" t="s">
        <v>841</v>
      </c>
      <c r="F399" s="457" t="s">
        <v>20</v>
      </c>
      <c r="G399" s="457" t="s">
        <v>21</v>
      </c>
      <c r="H399" s="460" t="s">
        <v>24</v>
      </c>
      <c r="I399" s="460" t="s">
        <v>31</v>
      </c>
      <c r="J399" s="460" t="s">
        <v>34</v>
      </c>
      <c r="K399" s="461" t="s">
        <v>33</v>
      </c>
    </row>
    <row r="400" spans="3:11" ht="15.75">
      <c r="C400" s="454" t="s">
        <v>1229</v>
      </c>
      <c r="D400" s="456" t="s">
        <v>22</v>
      </c>
      <c r="E400" s="457" t="s">
        <v>32</v>
      </c>
      <c r="F400" s="457" t="s">
        <v>20</v>
      </c>
      <c r="G400" s="457" t="s">
        <v>21</v>
      </c>
      <c r="H400" s="460" t="s">
        <v>24</v>
      </c>
      <c r="I400" s="460" t="s">
        <v>31</v>
      </c>
      <c r="J400" s="460" t="s">
        <v>34</v>
      </c>
      <c r="K400" s="461" t="s">
        <v>33</v>
      </c>
    </row>
    <row r="401" spans="3:11" ht="15.75">
      <c r="C401" s="454" t="s">
        <v>1228</v>
      </c>
      <c r="D401" s="456" t="s">
        <v>22</v>
      </c>
      <c r="E401" s="457" t="s">
        <v>841</v>
      </c>
      <c r="F401" s="457" t="s">
        <v>20</v>
      </c>
      <c r="G401" s="457" t="s">
        <v>21</v>
      </c>
      <c r="H401" s="460" t="s">
        <v>24</v>
      </c>
      <c r="I401" s="460" t="s">
        <v>31</v>
      </c>
      <c r="J401" s="460" t="s">
        <v>34</v>
      </c>
      <c r="K401" s="461" t="s">
        <v>32</v>
      </c>
    </row>
    <row r="402" spans="3:11" ht="15.75">
      <c r="C402" s="454" t="s">
        <v>1227</v>
      </c>
      <c r="D402" s="456" t="s">
        <v>22</v>
      </c>
      <c r="E402" s="457" t="s">
        <v>841</v>
      </c>
      <c r="F402" s="457" t="s">
        <v>20</v>
      </c>
      <c r="G402" s="457" t="s">
        <v>21</v>
      </c>
      <c r="H402" s="460" t="s">
        <v>24</v>
      </c>
      <c r="I402" s="460" t="s">
        <v>31</v>
      </c>
      <c r="J402" s="460" t="s">
        <v>32</v>
      </c>
      <c r="K402" s="461" t="s">
        <v>33</v>
      </c>
    </row>
    <row r="403" spans="3:11" ht="15.75">
      <c r="C403" s="454" t="s">
        <v>1226</v>
      </c>
      <c r="D403" s="456" t="s">
        <v>22</v>
      </c>
      <c r="E403" s="457" t="s">
        <v>841</v>
      </c>
      <c r="F403" s="457" t="s">
        <v>20</v>
      </c>
      <c r="G403" s="457" t="s">
        <v>21</v>
      </c>
      <c r="H403" s="460" t="s">
        <v>24</v>
      </c>
      <c r="I403" s="460" t="s">
        <v>272</v>
      </c>
      <c r="J403" s="460" t="s">
        <v>34</v>
      </c>
      <c r="K403" s="461" t="s">
        <v>33</v>
      </c>
    </row>
    <row r="404" spans="3:11" ht="15.75">
      <c r="C404" s="454" t="s">
        <v>1225</v>
      </c>
      <c r="D404" s="456" t="s">
        <v>22</v>
      </c>
      <c r="E404" s="457" t="s">
        <v>272</v>
      </c>
      <c r="F404" s="457" t="s">
        <v>20</v>
      </c>
      <c r="G404" s="457" t="s">
        <v>24</v>
      </c>
      <c r="H404" s="460" t="s">
        <v>32</v>
      </c>
      <c r="I404" s="460" t="s">
        <v>21</v>
      </c>
      <c r="J404" s="460" t="s">
        <v>34</v>
      </c>
      <c r="K404" s="461" t="s">
        <v>33</v>
      </c>
    </row>
    <row r="405" spans="3:11" ht="15.75">
      <c r="C405" s="454" t="s">
        <v>1224</v>
      </c>
      <c r="D405" s="456" t="s">
        <v>22</v>
      </c>
      <c r="E405" s="457" t="s">
        <v>841</v>
      </c>
      <c r="F405" s="457" t="s">
        <v>20</v>
      </c>
      <c r="G405" s="457" t="s">
        <v>21</v>
      </c>
      <c r="H405" s="460" t="s">
        <v>24</v>
      </c>
      <c r="I405" s="460" t="s">
        <v>272</v>
      </c>
      <c r="J405" s="460" t="s">
        <v>34</v>
      </c>
      <c r="K405" s="461" t="s">
        <v>32</v>
      </c>
    </row>
    <row r="406" spans="3:11" ht="15.75">
      <c r="C406" s="454" t="s">
        <v>1223</v>
      </c>
      <c r="D406" s="456" t="s">
        <v>22</v>
      </c>
      <c r="E406" s="457" t="s">
        <v>841</v>
      </c>
      <c r="F406" s="457" t="s">
        <v>20</v>
      </c>
      <c r="G406" s="457" t="s">
        <v>21</v>
      </c>
      <c r="H406" s="460" t="s">
        <v>24</v>
      </c>
      <c r="I406" s="460" t="s">
        <v>272</v>
      </c>
      <c r="J406" s="460" t="s">
        <v>32</v>
      </c>
      <c r="K406" s="461" t="s">
        <v>33</v>
      </c>
    </row>
    <row r="407" spans="3:11" ht="15.75">
      <c r="C407" s="454" t="s">
        <v>1222</v>
      </c>
      <c r="D407" s="456" t="s">
        <v>22</v>
      </c>
      <c r="E407" s="457" t="s">
        <v>272</v>
      </c>
      <c r="F407" s="457" t="s">
        <v>20</v>
      </c>
      <c r="G407" s="457" t="s">
        <v>21</v>
      </c>
      <c r="H407" s="460" t="s">
        <v>24</v>
      </c>
      <c r="I407" s="460" t="s">
        <v>31</v>
      </c>
      <c r="J407" s="460" t="s">
        <v>34</v>
      </c>
      <c r="K407" s="461" t="s">
        <v>33</v>
      </c>
    </row>
    <row r="408" spans="3:11" ht="15.75">
      <c r="C408" s="454" t="s">
        <v>1221</v>
      </c>
      <c r="D408" s="456" t="s">
        <v>31</v>
      </c>
      <c r="E408" s="457" t="s">
        <v>841</v>
      </c>
      <c r="F408" s="457" t="s">
        <v>20</v>
      </c>
      <c r="G408" s="457" t="s">
        <v>21</v>
      </c>
      <c r="H408" s="460" t="s">
        <v>24</v>
      </c>
      <c r="I408" s="460" t="s">
        <v>272</v>
      </c>
      <c r="J408" s="460" t="s">
        <v>34</v>
      </c>
      <c r="K408" s="461" t="s">
        <v>22</v>
      </c>
    </row>
    <row r="409" spans="3:11" ht="15.75">
      <c r="C409" s="454" t="s">
        <v>1220</v>
      </c>
      <c r="D409" s="456" t="s">
        <v>31</v>
      </c>
      <c r="E409" s="457" t="s">
        <v>841</v>
      </c>
      <c r="F409" s="457" t="s">
        <v>20</v>
      </c>
      <c r="G409" s="457" t="s">
        <v>21</v>
      </c>
      <c r="H409" s="460" t="s">
        <v>24</v>
      </c>
      <c r="I409" s="460" t="s">
        <v>272</v>
      </c>
      <c r="J409" s="460" t="s">
        <v>22</v>
      </c>
      <c r="K409" s="461" t="s">
        <v>33</v>
      </c>
    </row>
    <row r="410" spans="3:11" ht="15.75">
      <c r="C410" s="454" t="s">
        <v>1219</v>
      </c>
      <c r="D410" s="456" t="s">
        <v>22</v>
      </c>
      <c r="E410" s="457" t="s">
        <v>272</v>
      </c>
      <c r="F410" s="457" t="s">
        <v>20</v>
      </c>
      <c r="G410" s="457" t="s">
        <v>21</v>
      </c>
      <c r="H410" s="460" t="s">
        <v>24</v>
      </c>
      <c r="I410" s="460" t="s">
        <v>31</v>
      </c>
      <c r="J410" s="460" t="s">
        <v>34</v>
      </c>
      <c r="K410" s="461" t="s">
        <v>32</v>
      </c>
    </row>
    <row r="411" spans="3:11" ht="15.75">
      <c r="C411" s="454" t="s">
        <v>1218</v>
      </c>
      <c r="D411" s="456" t="s">
        <v>22</v>
      </c>
      <c r="E411" s="457" t="s">
        <v>272</v>
      </c>
      <c r="F411" s="457" t="s">
        <v>20</v>
      </c>
      <c r="G411" s="457" t="s">
        <v>21</v>
      </c>
      <c r="H411" s="460" t="s">
        <v>24</v>
      </c>
      <c r="I411" s="460" t="s">
        <v>31</v>
      </c>
      <c r="J411" s="460" t="s">
        <v>32</v>
      </c>
      <c r="K411" s="461" t="s">
        <v>33</v>
      </c>
    </row>
    <row r="412" spans="3:11" ht="15.75">
      <c r="C412" s="454" t="s">
        <v>1217</v>
      </c>
      <c r="D412" s="456" t="s">
        <v>31</v>
      </c>
      <c r="E412" s="457" t="s">
        <v>841</v>
      </c>
      <c r="F412" s="457" t="s">
        <v>20</v>
      </c>
      <c r="G412" s="457" t="s">
        <v>21</v>
      </c>
      <c r="H412" s="460" t="s">
        <v>24</v>
      </c>
      <c r="I412" s="460" t="s">
        <v>272</v>
      </c>
      <c r="J412" s="460" t="s">
        <v>22</v>
      </c>
      <c r="K412" s="461" t="s">
        <v>32</v>
      </c>
    </row>
    <row r="413" spans="3:11" ht="15.75">
      <c r="C413" s="454" t="s">
        <v>1216</v>
      </c>
      <c r="D413" s="456" t="s">
        <v>22</v>
      </c>
      <c r="E413" s="457" t="s">
        <v>841</v>
      </c>
      <c r="F413" s="457" t="s">
        <v>20</v>
      </c>
      <c r="G413" s="457" t="s">
        <v>21</v>
      </c>
      <c r="H413" s="460" t="s">
        <v>24</v>
      </c>
      <c r="I413" s="460" t="s">
        <v>23</v>
      </c>
      <c r="J413" s="460" t="s">
        <v>34</v>
      </c>
      <c r="K413" s="461" t="s">
        <v>33</v>
      </c>
    </row>
    <row r="414" spans="3:11" ht="15.75">
      <c r="C414" s="454" t="s">
        <v>1215</v>
      </c>
      <c r="D414" s="456" t="s">
        <v>22</v>
      </c>
      <c r="E414" s="457" t="s">
        <v>32</v>
      </c>
      <c r="F414" s="457" t="s">
        <v>20</v>
      </c>
      <c r="G414" s="457" t="s">
        <v>21</v>
      </c>
      <c r="H414" s="460" t="s">
        <v>24</v>
      </c>
      <c r="I414" s="460" t="s">
        <v>23</v>
      </c>
      <c r="J414" s="460" t="s">
        <v>34</v>
      </c>
      <c r="K414" s="461" t="s">
        <v>33</v>
      </c>
    </row>
    <row r="415" spans="3:11" ht="15.75">
      <c r="C415" s="454" t="s">
        <v>1214</v>
      </c>
      <c r="D415" s="456" t="s">
        <v>22</v>
      </c>
      <c r="E415" s="457" t="s">
        <v>841</v>
      </c>
      <c r="F415" s="457" t="s">
        <v>20</v>
      </c>
      <c r="G415" s="457" t="s">
        <v>21</v>
      </c>
      <c r="H415" s="460" t="s">
        <v>24</v>
      </c>
      <c r="I415" s="460" t="s">
        <v>23</v>
      </c>
      <c r="J415" s="460" t="s">
        <v>34</v>
      </c>
      <c r="K415" s="461" t="s">
        <v>32</v>
      </c>
    </row>
    <row r="416" spans="3:11" ht="15.75">
      <c r="C416" s="454" t="s">
        <v>1213</v>
      </c>
      <c r="D416" s="456" t="s">
        <v>22</v>
      </c>
      <c r="E416" s="457" t="s">
        <v>841</v>
      </c>
      <c r="F416" s="457" t="s">
        <v>20</v>
      </c>
      <c r="G416" s="457" t="s">
        <v>21</v>
      </c>
      <c r="H416" s="460" t="s">
        <v>24</v>
      </c>
      <c r="I416" s="460" t="s">
        <v>23</v>
      </c>
      <c r="J416" s="460" t="s">
        <v>32</v>
      </c>
      <c r="K416" s="461" t="s">
        <v>33</v>
      </c>
    </row>
    <row r="417" spans="3:11" ht="15.75">
      <c r="C417" s="454" t="s">
        <v>1212</v>
      </c>
      <c r="D417" s="456" t="s">
        <v>31</v>
      </c>
      <c r="E417" s="457" t="s">
        <v>22</v>
      </c>
      <c r="F417" s="457" t="s">
        <v>20</v>
      </c>
      <c r="G417" s="457" t="s">
        <v>21</v>
      </c>
      <c r="H417" s="460" t="s">
        <v>24</v>
      </c>
      <c r="I417" s="460" t="s">
        <v>23</v>
      </c>
      <c r="J417" s="460" t="s">
        <v>34</v>
      </c>
      <c r="K417" s="461" t="s">
        <v>33</v>
      </c>
    </row>
    <row r="418" spans="3:11" ht="15.75">
      <c r="C418" s="454" t="s">
        <v>1211</v>
      </c>
      <c r="D418" s="456" t="s">
        <v>31</v>
      </c>
      <c r="E418" s="457" t="s">
        <v>841</v>
      </c>
      <c r="F418" s="457" t="s">
        <v>20</v>
      </c>
      <c r="G418" s="457" t="s">
        <v>21</v>
      </c>
      <c r="H418" s="460" t="s">
        <v>24</v>
      </c>
      <c r="I418" s="460" t="s">
        <v>23</v>
      </c>
      <c r="J418" s="460" t="s">
        <v>34</v>
      </c>
      <c r="K418" s="461" t="s">
        <v>22</v>
      </c>
    </row>
    <row r="419" spans="3:11" ht="15.75">
      <c r="C419" s="454" t="s">
        <v>1210</v>
      </c>
      <c r="D419" s="456" t="s">
        <v>31</v>
      </c>
      <c r="E419" s="457" t="s">
        <v>841</v>
      </c>
      <c r="F419" s="457" t="s">
        <v>20</v>
      </c>
      <c r="G419" s="457" t="s">
        <v>21</v>
      </c>
      <c r="H419" s="460" t="s">
        <v>24</v>
      </c>
      <c r="I419" s="460" t="s">
        <v>23</v>
      </c>
      <c r="J419" s="460" t="s">
        <v>22</v>
      </c>
      <c r="K419" s="461" t="s">
        <v>33</v>
      </c>
    </row>
    <row r="420" spans="3:11" ht="15.75">
      <c r="C420" s="454" t="s">
        <v>1209</v>
      </c>
      <c r="D420" s="456" t="s">
        <v>31</v>
      </c>
      <c r="E420" s="457" t="s">
        <v>22</v>
      </c>
      <c r="F420" s="457" t="s">
        <v>20</v>
      </c>
      <c r="G420" s="457" t="s">
        <v>21</v>
      </c>
      <c r="H420" s="460" t="s">
        <v>24</v>
      </c>
      <c r="I420" s="460" t="s">
        <v>23</v>
      </c>
      <c r="J420" s="460" t="s">
        <v>34</v>
      </c>
      <c r="K420" s="461" t="s">
        <v>32</v>
      </c>
    </row>
    <row r="421" spans="3:11" ht="15.75">
      <c r="C421" s="454" t="s">
        <v>1208</v>
      </c>
      <c r="D421" s="456" t="s">
        <v>31</v>
      </c>
      <c r="E421" s="457" t="s">
        <v>22</v>
      </c>
      <c r="F421" s="457" t="s">
        <v>20</v>
      </c>
      <c r="G421" s="457" t="s">
        <v>21</v>
      </c>
      <c r="H421" s="460" t="s">
        <v>24</v>
      </c>
      <c r="I421" s="460" t="s">
        <v>23</v>
      </c>
      <c r="J421" s="460" t="s">
        <v>32</v>
      </c>
      <c r="K421" s="461" t="s">
        <v>33</v>
      </c>
    </row>
    <row r="422" spans="3:11" ht="15.75">
      <c r="C422" s="454" t="s">
        <v>1207</v>
      </c>
      <c r="D422" s="456" t="s">
        <v>31</v>
      </c>
      <c r="E422" s="457" t="s">
        <v>841</v>
      </c>
      <c r="F422" s="457" t="s">
        <v>20</v>
      </c>
      <c r="G422" s="457" t="s">
        <v>21</v>
      </c>
      <c r="H422" s="460" t="s">
        <v>24</v>
      </c>
      <c r="I422" s="460" t="s">
        <v>23</v>
      </c>
      <c r="J422" s="460" t="s">
        <v>22</v>
      </c>
      <c r="K422" s="461" t="s">
        <v>32</v>
      </c>
    </row>
    <row r="423" spans="3:11" ht="15.75">
      <c r="C423" s="454" t="s">
        <v>1206</v>
      </c>
      <c r="D423" s="456" t="s">
        <v>22</v>
      </c>
      <c r="E423" s="457" t="s">
        <v>272</v>
      </c>
      <c r="F423" s="457" t="s">
        <v>20</v>
      </c>
      <c r="G423" s="457" t="s">
        <v>21</v>
      </c>
      <c r="H423" s="460" t="s">
        <v>24</v>
      </c>
      <c r="I423" s="460" t="s">
        <v>23</v>
      </c>
      <c r="J423" s="460" t="s">
        <v>34</v>
      </c>
      <c r="K423" s="461" t="s">
        <v>33</v>
      </c>
    </row>
    <row r="424" spans="3:11" ht="15.75">
      <c r="C424" s="454" t="s">
        <v>1205</v>
      </c>
      <c r="D424" s="456" t="s">
        <v>22</v>
      </c>
      <c r="E424" s="457" t="s">
        <v>272</v>
      </c>
      <c r="F424" s="457" t="s">
        <v>20</v>
      </c>
      <c r="G424" s="457" t="s">
        <v>21</v>
      </c>
      <c r="H424" s="460" t="s">
        <v>24</v>
      </c>
      <c r="I424" s="460" t="s">
        <v>23</v>
      </c>
      <c r="J424" s="460" t="s">
        <v>34</v>
      </c>
      <c r="K424" s="461" t="s">
        <v>841</v>
      </c>
    </row>
    <row r="425" spans="3:11" ht="15.75">
      <c r="C425" s="454" t="s">
        <v>1204</v>
      </c>
      <c r="D425" s="456" t="s">
        <v>22</v>
      </c>
      <c r="E425" s="457" t="s">
        <v>272</v>
      </c>
      <c r="F425" s="457" t="s">
        <v>20</v>
      </c>
      <c r="G425" s="457" t="s">
        <v>21</v>
      </c>
      <c r="H425" s="460" t="s">
        <v>24</v>
      </c>
      <c r="I425" s="460" t="s">
        <v>23</v>
      </c>
      <c r="J425" s="460" t="s">
        <v>841</v>
      </c>
      <c r="K425" s="461" t="s">
        <v>33</v>
      </c>
    </row>
    <row r="426" spans="3:11" ht="15.75">
      <c r="C426" s="454" t="s">
        <v>1203</v>
      </c>
      <c r="D426" s="456" t="s">
        <v>22</v>
      </c>
      <c r="E426" s="457" t="s">
        <v>272</v>
      </c>
      <c r="F426" s="457" t="s">
        <v>20</v>
      </c>
      <c r="G426" s="457" t="s">
        <v>21</v>
      </c>
      <c r="H426" s="460" t="s">
        <v>24</v>
      </c>
      <c r="I426" s="460" t="s">
        <v>23</v>
      </c>
      <c r="J426" s="460" t="s">
        <v>34</v>
      </c>
      <c r="K426" s="461" t="s">
        <v>32</v>
      </c>
    </row>
    <row r="427" spans="3:11" ht="15.75">
      <c r="C427" s="454" t="s">
        <v>1202</v>
      </c>
      <c r="D427" s="456" t="s">
        <v>22</v>
      </c>
      <c r="E427" s="457" t="s">
        <v>272</v>
      </c>
      <c r="F427" s="457" t="s">
        <v>20</v>
      </c>
      <c r="G427" s="457" t="s">
        <v>21</v>
      </c>
      <c r="H427" s="460" t="s">
        <v>24</v>
      </c>
      <c r="I427" s="460" t="s">
        <v>23</v>
      </c>
      <c r="J427" s="460" t="s">
        <v>32</v>
      </c>
      <c r="K427" s="461" t="s">
        <v>33</v>
      </c>
    </row>
    <row r="428" spans="3:11" ht="15.75">
      <c r="C428" s="454" t="s">
        <v>1201</v>
      </c>
      <c r="D428" s="456" t="s">
        <v>22</v>
      </c>
      <c r="E428" s="457" t="s">
        <v>272</v>
      </c>
      <c r="F428" s="457" t="s">
        <v>20</v>
      </c>
      <c r="G428" s="457" t="s">
        <v>21</v>
      </c>
      <c r="H428" s="460" t="s">
        <v>24</v>
      </c>
      <c r="I428" s="460" t="s">
        <v>23</v>
      </c>
      <c r="J428" s="460" t="s">
        <v>32</v>
      </c>
      <c r="K428" s="461" t="s">
        <v>841</v>
      </c>
    </row>
    <row r="429" spans="3:11" ht="15.75">
      <c r="C429" s="454" t="s">
        <v>1200</v>
      </c>
      <c r="D429" s="456" t="s">
        <v>31</v>
      </c>
      <c r="E429" s="457" t="s">
        <v>272</v>
      </c>
      <c r="F429" s="457" t="s">
        <v>20</v>
      </c>
      <c r="G429" s="457" t="s">
        <v>21</v>
      </c>
      <c r="H429" s="460" t="s">
        <v>24</v>
      </c>
      <c r="I429" s="460" t="s">
        <v>23</v>
      </c>
      <c r="J429" s="460" t="s">
        <v>34</v>
      </c>
      <c r="K429" s="461" t="s">
        <v>22</v>
      </c>
    </row>
    <row r="430" spans="3:11" ht="15.75">
      <c r="C430" s="454" t="s">
        <v>1199</v>
      </c>
      <c r="D430" s="456" t="s">
        <v>31</v>
      </c>
      <c r="E430" s="457" t="s">
        <v>272</v>
      </c>
      <c r="F430" s="457" t="s">
        <v>20</v>
      </c>
      <c r="G430" s="457" t="s">
        <v>21</v>
      </c>
      <c r="H430" s="460" t="s">
        <v>24</v>
      </c>
      <c r="I430" s="460" t="s">
        <v>23</v>
      </c>
      <c r="J430" s="460" t="s">
        <v>22</v>
      </c>
      <c r="K430" s="461" t="s">
        <v>33</v>
      </c>
    </row>
    <row r="431" spans="3:11" ht="15.75">
      <c r="C431" s="454" t="s">
        <v>1198</v>
      </c>
      <c r="D431" s="456" t="s">
        <v>31</v>
      </c>
      <c r="E431" s="457" t="s">
        <v>272</v>
      </c>
      <c r="F431" s="457" t="s">
        <v>20</v>
      </c>
      <c r="G431" s="457" t="s">
        <v>21</v>
      </c>
      <c r="H431" s="460" t="s">
        <v>24</v>
      </c>
      <c r="I431" s="460" t="s">
        <v>23</v>
      </c>
      <c r="J431" s="460" t="s">
        <v>22</v>
      </c>
      <c r="K431" s="461" t="s">
        <v>841</v>
      </c>
    </row>
    <row r="432" spans="3:11" ht="15.75">
      <c r="C432" s="454" t="s">
        <v>1197</v>
      </c>
      <c r="D432" s="456" t="s">
        <v>31</v>
      </c>
      <c r="E432" s="457" t="s">
        <v>272</v>
      </c>
      <c r="F432" s="457" t="s">
        <v>20</v>
      </c>
      <c r="G432" s="457" t="s">
        <v>21</v>
      </c>
      <c r="H432" s="460" t="s">
        <v>24</v>
      </c>
      <c r="I432" s="460" t="s">
        <v>23</v>
      </c>
      <c r="J432" s="460" t="s">
        <v>22</v>
      </c>
      <c r="K432" s="461" t="s">
        <v>32</v>
      </c>
    </row>
    <row r="433" spans="3:11" ht="15.75">
      <c r="C433" s="454" t="s">
        <v>1196</v>
      </c>
      <c r="D433" s="456" t="s">
        <v>32</v>
      </c>
      <c r="E433" s="457" t="s">
        <v>841</v>
      </c>
      <c r="F433" s="457" t="s">
        <v>20</v>
      </c>
      <c r="G433" s="457" t="s">
        <v>21</v>
      </c>
      <c r="H433" s="460" t="s">
        <v>24</v>
      </c>
      <c r="I433" s="460" t="s">
        <v>25</v>
      </c>
      <c r="J433" s="460" t="s">
        <v>34</v>
      </c>
      <c r="K433" s="461" t="s">
        <v>33</v>
      </c>
    </row>
    <row r="434" spans="3:11" ht="15.75">
      <c r="C434" s="454" t="s">
        <v>1195</v>
      </c>
      <c r="D434" s="456" t="s">
        <v>31</v>
      </c>
      <c r="E434" s="457" t="s">
        <v>841</v>
      </c>
      <c r="F434" s="457" t="s">
        <v>20</v>
      </c>
      <c r="G434" s="457" t="s">
        <v>21</v>
      </c>
      <c r="H434" s="460" t="s">
        <v>24</v>
      </c>
      <c r="I434" s="460" t="s">
        <v>25</v>
      </c>
      <c r="J434" s="460" t="s">
        <v>34</v>
      </c>
      <c r="K434" s="461" t="s">
        <v>33</v>
      </c>
    </row>
    <row r="435" spans="3:11" ht="15.75">
      <c r="C435" s="454" t="s">
        <v>1194</v>
      </c>
      <c r="D435" s="456" t="s">
        <v>31</v>
      </c>
      <c r="E435" s="457" t="s">
        <v>32</v>
      </c>
      <c r="F435" s="457" t="s">
        <v>20</v>
      </c>
      <c r="G435" s="457" t="s">
        <v>21</v>
      </c>
      <c r="H435" s="460" t="s">
        <v>24</v>
      </c>
      <c r="I435" s="460" t="s">
        <v>25</v>
      </c>
      <c r="J435" s="460" t="s">
        <v>34</v>
      </c>
      <c r="K435" s="461" t="s">
        <v>33</v>
      </c>
    </row>
    <row r="436" spans="3:11" ht="15.75">
      <c r="C436" s="454" t="s">
        <v>1193</v>
      </c>
      <c r="D436" s="456" t="s">
        <v>31</v>
      </c>
      <c r="E436" s="457" t="s">
        <v>841</v>
      </c>
      <c r="F436" s="457" t="s">
        <v>20</v>
      </c>
      <c r="G436" s="457" t="s">
        <v>21</v>
      </c>
      <c r="H436" s="460" t="s">
        <v>24</v>
      </c>
      <c r="I436" s="460" t="s">
        <v>25</v>
      </c>
      <c r="J436" s="460" t="s">
        <v>34</v>
      </c>
      <c r="K436" s="461" t="s">
        <v>32</v>
      </c>
    </row>
    <row r="437" spans="3:11" ht="15.75">
      <c r="C437" s="454" t="s">
        <v>1192</v>
      </c>
      <c r="D437" s="456" t="s">
        <v>31</v>
      </c>
      <c r="E437" s="457" t="s">
        <v>841</v>
      </c>
      <c r="F437" s="457" t="s">
        <v>20</v>
      </c>
      <c r="G437" s="457" t="s">
        <v>21</v>
      </c>
      <c r="H437" s="460" t="s">
        <v>24</v>
      </c>
      <c r="I437" s="460" t="s">
        <v>25</v>
      </c>
      <c r="J437" s="460" t="s">
        <v>32</v>
      </c>
      <c r="K437" s="461" t="s">
        <v>33</v>
      </c>
    </row>
    <row r="438" spans="3:11" ht="15.75">
      <c r="C438" s="454" t="s">
        <v>1191</v>
      </c>
      <c r="D438" s="456" t="s">
        <v>21</v>
      </c>
      <c r="E438" s="457" t="s">
        <v>841</v>
      </c>
      <c r="F438" s="457" t="s">
        <v>20</v>
      </c>
      <c r="G438" s="457" t="s">
        <v>25</v>
      </c>
      <c r="H438" s="460" t="s">
        <v>24</v>
      </c>
      <c r="I438" s="460" t="s">
        <v>272</v>
      </c>
      <c r="J438" s="460" t="s">
        <v>34</v>
      </c>
      <c r="K438" s="461" t="s">
        <v>33</v>
      </c>
    </row>
    <row r="439" spans="3:11" ht="15.75">
      <c r="C439" s="454" t="s">
        <v>1190</v>
      </c>
      <c r="D439" s="456" t="s">
        <v>32</v>
      </c>
      <c r="E439" s="457" t="s">
        <v>272</v>
      </c>
      <c r="F439" s="457" t="s">
        <v>20</v>
      </c>
      <c r="G439" s="457" t="s">
        <v>21</v>
      </c>
      <c r="H439" s="460" t="s">
        <v>24</v>
      </c>
      <c r="I439" s="460" t="s">
        <v>25</v>
      </c>
      <c r="J439" s="460" t="s">
        <v>34</v>
      </c>
      <c r="K439" s="461" t="s">
        <v>33</v>
      </c>
    </row>
    <row r="440" spans="3:11" ht="15.75">
      <c r="C440" s="454" t="s">
        <v>1189</v>
      </c>
      <c r="D440" s="456" t="s">
        <v>21</v>
      </c>
      <c r="E440" s="457" t="s">
        <v>841</v>
      </c>
      <c r="F440" s="457" t="s">
        <v>20</v>
      </c>
      <c r="G440" s="457" t="s">
        <v>25</v>
      </c>
      <c r="H440" s="460" t="s">
        <v>24</v>
      </c>
      <c r="I440" s="460" t="s">
        <v>272</v>
      </c>
      <c r="J440" s="460" t="s">
        <v>34</v>
      </c>
      <c r="K440" s="461" t="s">
        <v>32</v>
      </c>
    </row>
    <row r="441" spans="3:11" ht="15.75">
      <c r="C441" s="454" t="s">
        <v>1188</v>
      </c>
      <c r="D441" s="456" t="s">
        <v>21</v>
      </c>
      <c r="E441" s="457" t="s">
        <v>841</v>
      </c>
      <c r="F441" s="457" t="s">
        <v>20</v>
      </c>
      <c r="G441" s="457" t="s">
        <v>25</v>
      </c>
      <c r="H441" s="460" t="s">
        <v>24</v>
      </c>
      <c r="I441" s="460" t="s">
        <v>272</v>
      </c>
      <c r="J441" s="460" t="s">
        <v>32</v>
      </c>
      <c r="K441" s="461" t="s">
        <v>33</v>
      </c>
    </row>
    <row r="442" spans="3:11" ht="15.75">
      <c r="C442" s="454" t="s">
        <v>1187</v>
      </c>
      <c r="D442" s="456" t="s">
        <v>31</v>
      </c>
      <c r="E442" s="457" t="s">
        <v>272</v>
      </c>
      <c r="F442" s="457" t="s">
        <v>20</v>
      </c>
      <c r="G442" s="457" t="s">
        <v>21</v>
      </c>
      <c r="H442" s="460" t="s">
        <v>24</v>
      </c>
      <c r="I442" s="460" t="s">
        <v>25</v>
      </c>
      <c r="J442" s="460" t="s">
        <v>34</v>
      </c>
      <c r="K442" s="461" t="s">
        <v>33</v>
      </c>
    </row>
    <row r="443" spans="3:11" ht="15.75">
      <c r="C443" s="454" t="s">
        <v>1186</v>
      </c>
      <c r="D443" s="456" t="s">
        <v>31</v>
      </c>
      <c r="E443" s="457" t="s">
        <v>272</v>
      </c>
      <c r="F443" s="457" t="s">
        <v>20</v>
      </c>
      <c r="G443" s="457" t="s">
        <v>21</v>
      </c>
      <c r="H443" s="460" t="s">
        <v>24</v>
      </c>
      <c r="I443" s="460" t="s">
        <v>25</v>
      </c>
      <c r="J443" s="460" t="s">
        <v>34</v>
      </c>
      <c r="K443" s="461" t="s">
        <v>841</v>
      </c>
    </row>
    <row r="444" spans="3:11" ht="15.75">
      <c r="C444" s="454" t="s">
        <v>1185</v>
      </c>
      <c r="D444" s="456" t="s">
        <v>31</v>
      </c>
      <c r="E444" s="457" t="s">
        <v>272</v>
      </c>
      <c r="F444" s="457" t="s">
        <v>20</v>
      </c>
      <c r="G444" s="457" t="s">
        <v>21</v>
      </c>
      <c r="H444" s="460" t="s">
        <v>24</v>
      </c>
      <c r="I444" s="460" t="s">
        <v>25</v>
      </c>
      <c r="J444" s="460" t="s">
        <v>841</v>
      </c>
      <c r="K444" s="461" t="s">
        <v>33</v>
      </c>
    </row>
    <row r="445" spans="3:11" ht="15.75">
      <c r="C445" s="454" t="s">
        <v>1184</v>
      </c>
      <c r="D445" s="456" t="s">
        <v>31</v>
      </c>
      <c r="E445" s="457" t="s">
        <v>272</v>
      </c>
      <c r="F445" s="457" t="s">
        <v>20</v>
      </c>
      <c r="G445" s="457" t="s">
        <v>21</v>
      </c>
      <c r="H445" s="460" t="s">
        <v>24</v>
      </c>
      <c r="I445" s="460" t="s">
        <v>25</v>
      </c>
      <c r="J445" s="460" t="s">
        <v>34</v>
      </c>
      <c r="K445" s="461" t="s">
        <v>32</v>
      </c>
    </row>
    <row r="446" spans="3:11" ht="15.75">
      <c r="C446" s="454" t="s">
        <v>1183</v>
      </c>
      <c r="D446" s="456" t="s">
        <v>31</v>
      </c>
      <c r="E446" s="457" t="s">
        <v>272</v>
      </c>
      <c r="F446" s="457" t="s">
        <v>20</v>
      </c>
      <c r="G446" s="457" t="s">
        <v>21</v>
      </c>
      <c r="H446" s="460" t="s">
        <v>24</v>
      </c>
      <c r="I446" s="460" t="s">
        <v>25</v>
      </c>
      <c r="J446" s="460" t="s">
        <v>32</v>
      </c>
      <c r="K446" s="461" t="s">
        <v>33</v>
      </c>
    </row>
    <row r="447" spans="3:11" ht="15.75">
      <c r="C447" s="454" t="s">
        <v>1182</v>
      </c>
      <c r="D447" s="456" t="s">
        <v>31</v>
      </c>
      <c r="E447" s="457" t="s">
        <v>272</v>
      </c>
      <c r="F447" s="457" t="s">
        <v>20</v>
      </c>
      <c r="G447" s="457" t="s">
        <v>21</v>
      </c>
      <c r="H447" s="460" t="s">
        <v>24</v>
      </c>
      <c r="I447" s="460" t="s">
        <v>25</v>
      </c>
      <c r="J447" s="460" t="s">
        <v>32</v>
      </c>
      <c r="K447" s="461" t="s">
        <v>841</v>
      </c>
    </row>
    <row r="448" spans="3:11" ht="15.75">
      <c r="C448" s="454" t="s">
        <v>1181</v>
      </c>
      <c r="D448" s="456" t="s">
        <v>21</v>
      </c>
      <c r="E448" s="457" t="s">
        <v>841</v>
      </c>
      <c r="F448" s="457" t="s">
        <v>20</v>
      </c>
      <c r="G448" s="457" t="s">
        <v>25</v>
      </c>
      <c r="H448" s="460" t="s">
        <v>24</v>
      </c>
      <c r="I448" s="460" t="s">
        <v>23</v>
      </c>
      <c r="J448" s="460" t="s">
        <v>34</v>
      </c>
      <c r="K448" s="461" t="s">
        <v>33</v>
      </c>
    </row>
    <row r="449" spans="3:11" ht="15.75">
      <c r="C449" s="454" t="s">
        <v>1180</v>
      </c>
      <c r="D449" s="456" t="s">
        <v>21</v>
      </c>
      <c r="E449" s="457" t="s">
        <v>32</v>
      </c>
      <c r="F449" s="457" t="s">
        <v>20</v>
      </c>
      <c r="G449" s="457" t="s">
        <v>25</v>
      </c>
      <c r="H449" s="460" t="s">
        <v>24</v>
      </c>
      <c r="I449" s="460" t="s">
        <v>23</v>
      </c>
      <c r="J449" s="460" t="s">
        <v>34</v>
      </c>
      <c r="K449" s="461" t="s">
        <v>33</v>
      </c>
    </row>
    <row r="450" spans="3:11" ht="15.75">
      <c r="C450" s="454" t="s">
        <v>1179</v>
      </c>
      <c r="D450" s="456" t="s">
        <v>21</v>
      </c>
      <c r="E450" s="457" t="s">
        <v>841</v>
      </c>
      <c r="F450" s="457" t="s">
        <v>20</v>
      </c>
      <c r="G450" s="457" t="s">
        <v>25</v>
      </c>
      <c r="H450" s="460" t="s">
        <v>24</v>
      </c>
      <c r="I450" s="460" t="s">
        <v>23</v>
      </c>
      <c r="J450" s="460" t="s">
        <v>34</v>
      </c>
      <c r="K450" s="461" t="s">
        <v>32</v>
      </c>
    </row>
    <row r="451" spans="3:11" ht="15.75">
      <c r="C451" s="454" t="s">
        <v>1178</v>
      </c>
      <c r="D451" s="456" t="s">
        <v>21</v>
      </c>
      <c r="E451" s="457" t="s">
        <v>841</v>
      </c>
      <c r="F451" s="457" t="s">
        <v>20</v>
      </c>
      <c r="G451" s="457" t="s">
        <v>25</v>
      </c>
      <c r="H451" s="460" t="s">
        <v>24</v>
      </c>
      <c r="I451" s="460" t="s">
        <v>23</v>
      </c>
      <c r="J451" s="460" t="s">
        <v>32</v>
      </c>
      <c r="K451" s="461" t="s">
        <v>33</v>
      </c>
    </row>
    <row r="452" spans="3:11" ht="15.75">
      <c r="C452" s="454" t="s">
        <v>1177</v>
      </c>
      <c r="D452" s="456" t="s">
        <v>31</v>
      </c>
      <c r="E452" s="457" t="s">
        <v>23</v>
      </c>
      <c r="F452" s="457" t="s">
        <v>20</v>
      </c>
      <c r="G452" s="457" t="s">
        <v>21</v>
      </c>
      <c r="H452" s="460" t="s">
        <v>24</v>
      </c>
      <c r="I452" s="460" t="s">
        <v>25</v>
      </c>
      <c r="J452" s="460" t="s">
        <v>34</v>
      </c>
      <c r="K452" s="461" t="s">
        <v>33</v>
      </c>
    </row>
    <row r="453" spans="3:11" ht="15.75">
      <c r="C453" s="454" t="s">
        <v>1176</v>
      </c>
      <c r="D453" s="456" t="s">
        <v>21</v>
      </c>
      <c r="E453" s="457" t="s">
        <v>841</v>
      </c>
      <c r="F453" s="457" t="s">
        <v>20</v>
      </c>
      <c r="G453" s="457" t="s">
        <v>25</v>
      </c>
      <c r="H453" s="460" t="s">
        <v>24</v>
      </c>
      <c r="I453" s="460" t="s">
        <v>23</v>
      </c>
      <c r="J453" s="460" t="s">
        <v>34</v>
      </c>
      <c r="K453" s="461" t="s">
        <v>31</v>
      </c>
    </row>
    <row r="454" spans="3:11" ht="15.75">
      <c r="C454" s="454" t="s">
        <v>1175</v>
      </c>
      <c r="D454" s="456" t="s">
        <v>31</v>
      </c>
      <c r="E454" s="457" t="s">
        <v>841</v>
      </c>
      <c r="F454" s="457" t="s">
        <v>20</v>
      </c>
      <c r="G454" s="457" t="s">
        <v>21</v>
      </c>
      <c r="H454" s="460" t="s">
        <v>24</v>
      </c>
      <c r="I454" s="460" t="s">
        <v>23</v>
      </c>
      <c r="J454" s="460" t="s">
        <v>25</v>
      </c>
      <c r="K454" s="461" t="s">
        <v>33</v>
      </c>
    </row>
    <row r="455" spans="3:11" ht="15.75">
      <c r="C455" s="454" t="s">
        <v>1174</v>
      </c>
      <c r="D455" s="456" t="s">
        <v>31</v>
      </c>
      <c r="E455" s="457" t="s">
        <v>23</v>
      </c>
      <c r="F455" s="457" t="s">
        <v>20</v>
      </c>
      <c r="G455" s="457" t="s">
        <v>21</v>
      </c>
      <c r="H455" s="460" t="s">
        <v>24</v>
      </c>
      <c r="I455" s="460" t="s">
        <v>25</v>
      </c>
      <c r="J455" s="460" t="s">
        <v>34</v>
      </c>
      <c r="K455" s="461" t="s">
        <v>32</v>
      </c>
    </row>
    <row r="456" spans="3:11" ht="15.75">
      <c r="C456" s="454" t="s">
        <v>1173</v>
      </c>
      <c r="D456" s="456" t="s">
        <v>31</v>
      </c>
      <c r="E456" s="457" t="s">
        <v>23</v>
      </c>
      <c r="F456" s="457" t="s">
        <v>20</v>
      </c>
      <c r="G456" s="457" t="s">
        <v>21</v>
      </c>
      <c r="H456" s="460" t="s">
        <v>24</v>
      </c>
      <c r="I456" s="460" t="s">
        <v>25</v>
      </c>
      <c r="J456" s="460" t="s">
        <v>32</v>
      </c>
      <c r="K456" s="461" t="s">
        <v>33</v>
      </c>
    </row>
    <row r="457" spans="3:11" ht="15.75">
      <c r="C457" s="454" t="s">
        <v>1172</v>
      </c>
      <c r="D457" s="456" t="s">
        <v>31</v>
      </c>
      <c r="E457" s="457" t="s">
        <v>841</v>
      </c>
      <c r="F457" s="457" t="s">
        <v>20</v>
      </c>
      <c r="G457" s="457" t="s">
        <v>21</v>
      </c>
      <c r="H457" s="460" t="s">
        <v>24</v>
      </c>
      <c r="I457" s="460" t="s">
        <v>23</v>
      </c>
      <c r="J457" s="460" t="s">
        <v>25</v>
      </c>
      <c r="K457" s="461" t="s">
        <v>32</v>
      </c>
    </row>
    <row r="458" spans="3:11" ht="15.75">
      <c r="C458" s="454" t="s">
        <v>1171</v>
      </c>
      <c r="D458" s="456" t="s">
        <v>21</v>
      </c>
      <c r="E458" s="457" t="s">
        <v>272</v>
      </c>
      <c r="F458" s="457" t="s">
        <v>20</v>
      </c>
      <c r="G458" s="457" t="s">
        <v>25</v>
      </c>
      <c r="H458" s="460" t="s">
        <v>24</v>
      </c>
      <c r="I458" s="460" t="s">
        <v>23</v>
      </c>
      <c r="J458" s="460" t="s">
        <v>34</v>
      </c>
      <c r="K458" s="461" t="s">
        <v>33</v>
      </c>
    </row>
    <row r="459" spans="3:11" ht="15.75">
      <c r="C459" s="454" t="s">
        <v>1170</v>
      </c>
      <c r="D459" s="456" t="s">
        <v>21</v>
      </c>
      <c r="E459" s="457" t="s">
        <v>272</v>
      </c>
      <c r="F459" s="457" t="s">
        <v>20</v>
      </c>
      <c r="G459" s="457" t="s">
        <v>25</v>
      </c>
      <c r="H459" s="460" t="s">
        <v>24</v>
      </c>
      <c r="I459" s="460" t="s">
        <v>23</v>
      </c>
      <c r="J459" s="460" t="s">
        <v>34</v>
      </c>
      <c r="K459" s="461" t="s">
        <v>841</v>
      </c>
    </row>
    <row r="460" spans="3:11" ht="15.75">
      <c r="C460" s="454" t="s">
        <v>1169</v>
      </c>
      <c r="D460" s="456" t="s">
        <v>21</v>
      </c>
      <c r="E460" s="457" t="s">
        <v>272</v>
      </c>
      <c r="F460" s="457" t="s">
        <v>20</v>
      </c>
      <c r="G460" s="457" t="s">
        <v>25</v>
      </c>
      <c r="H460" s="460" t="s">
        <v>24</v>
      </c>
      <c r="I460" s="460" t="s">
        <v>23</v>
      </c>
      <c r="J460" s="460" t="s">
        <v>841</v>
      </c>
      <c r="K460" s="461" t="s">
        <v>33</v>
      </c>
    </row>
    <row r="461" spans="3:11" ht="15.75">
      <c r="C461" s="454" t="s">
        <v>1168</v>
      </c>
      <c r="D461" s="456" t="s">
        <v>21</v>
      </c>
      <c r="E461" s="457" t="s">
        <v>272</v>
      </c>
      <c r="F461" s="457" t="s">
        <v>20</v>
      </c>
      <c r="G461" s="457" t="s">
        <v>25</v>
      </c>
      <c r="H461" s="460" t="s">
        <v>24</v>
      </c>
      <c r="I461" s="460" t="s">
        <v>23</v>
      </c>
      <c r="J461" s="460" t="s">
        <v>34</v>
      </c>
      <c r="K461" s="461" t="s">
        <v>32</v>
      </c>
    </row>
    <row r="462" spans="3:11" ht="15.75">
      <c r="C462" s="454" t="s">
        <v>1167</v>
      </c>
      <c r="D462" s="456" t="s">
        <v>21</v>
      </c>
      <c r="E462" s="457" t="s">
        <v>272</v>
      </c>
      <c r="F462" s="457" t="s">
        <v>20</v>
      </c>
      <c r="G462" s="457" t="s">
        <v>25</v>
      </c>
      <c r="H462" s="460" t="s">
        <v>24</v>
      </c>
      <c r="I462" s="460" t="s">
        <v>23</v>
      </c>
      <c r="J462" s="460" t="s">
        <v>32</v>
      </c>
      <c r="K462" s="461" t="s">
        <v>33</v>
      </c>
    </row>
    <row r="463" spans="3:11" ht="15.75">
      <c r="C463" s="454" t="s">
        <v>1166</v>
      </c>
      <c r="D463" s="456" t="s">
        <v>21</v>
      </c>
      <c r="E463" s="457" t="s">
        <v>272</v>
      </c>
      <c r="F463" s="457" t="s">
        <v>20</v>
      </c>
      <c r="G463" s="457" t="s">
        <v>25</v>
      </c>
      <c r="H463" s="460" t="s">
        <v>24</v>
      </c>
      <c r="I463" s="460" t="s">
        <v>23</v>
      </c>
      <c r="J463" s="460" t="s">
        <v>32</v>
      </c>
      <c r="K463" s="461" t="s">
        <v>841</v>
      </c>
    </row>
    <row r="464" spans="3:11" ht="15.75">
      <c r="C464" s="454" t="s">
        <v>1165</v>
      </c>
      <c r="D464" s="456" t="s">
        <v>21</v>
      </c>
      <c r="E464" s="457" t="s">
        <v>272</v>
      </c>
      <c r="F464" s="457" t="s">
        <v>20</v>
      </c>
      <c r="G464" s="457" t="s">
        <v>25</v>
      </c>
      <c r="H464" s="460" t="s">
        <v>24</v>
      </c>
      <c r="I464" s="460" t="s">
        <v>23</v>
      </c>
      <c r="J464" s="460" t="s">
        <v>34</v>
      </c>
      <c r="K464" s="461" t="s">
        <v>31</v>
      </c>
    </row>
    <row r="465" spans="3:11" ht="15.75">
      <c r="C465" s="454" t="s">
        <v>1164</v>
      </c>
      <c r="D465" s="456" t="s">
        <v>31</v>
      </c>
      <c r="E465" s="457" t="s">
        <v>272</v>
      </c>
      <c r="F465" s="457" t="s">
        <v>20</v>
      </c>
      <c r="G465" s="457" t="s">
        <v>21</v>
      </c>
      <c r="H465" s="460" t="s">
        <v>24</v>
      </c>
      <c r="I465" s="460" t="s">
        <v>23</v>
      </c>
      <c r="J465" s="460" t="s">
        <v>25</v>
      </c>
      <c r="K465" s="461" t="s">
        <v>33</v>
      </c>
    </row>
    <row r="466" spans="3:11" ht="15.75">
      <c r="C466" s="454" t="s">
        <v>1163</v>
      </c>
      <c r="D466" s="456" t="s">
        <v>31</v>
      </c>
      <c r="E466" s="457" t="s">
        <v>272</v>
      </c>
      <c r="F466" s="457" t="s">
        <v>20</v>
      </c>
      <c r="G466" s="457" t="s">
        <v>21</v>
      </c>
      <c r="H466" s="460" t="s">
        <v>24</v>
      </c>
      <c r="I466" s="460" t="s">
        <v>23</v>
      </c>
      <c r="J466" s="460" t="s">
        <v>25</v>
      </c>
      <c r="K466" s="461" t="s">
        <v>841</v>
      </c>
    </row>
    <row r="467" spans="3:11" ht="15.75">
      <c r="C467" s="454" t="s">
        <v>1162</v>
      </c>
      <c r="D467" s="456" t="s">
        <v>31</v>
      </c>
      <c r="E467" s="457" t="s">
        <v>272</v>
      </c>
      <c r="F467" s="457" t="s">
        <v>20</v>
      </c>
      <c r="G467" s="457" t="s">
        <v>21</v>
      </c>
      <c r="H467" s="460" t="s">
        <v>24</v>
      </c>
      <c r="I467" s="460" t="s">
        <v>23</v>
      </c>
      <c r="J467" s="460" t="s">
        <v>25</v>
      </c>
      <c r="K467" s="461" t="s">
        <v>32</v>
      </c>
    </row>
    <row r="468" spans="3:11" ht="15.75">
      <c r="C468" s="454" t="s">
        <v>1161</v>
      </c>
      <c r="D468" s="456" t="s">
        <v>22</v>
      </c>
      <c r="E468" s="457" t="s">
        <v>841</v>
      </c>
      <c r="F468" s="457" t="s">
        <v>20</v>
      </c>
      <c r="G468" s="457" t="s">
        <v>21</v>
      </c>
      <c r="H468" s="460" t="s">
        <v>24</v>
      </c>
      <c r="I468" s="460" t="s">
        <v>25</v>
      </c>
      <c r="J468" s="460" t="s">
        <v>34</v>
      </c>
      <c r="K468" s="461" t="s">
        <v>33</v>
      </c>
    </row>
    <row r="469" spans="3:11" ht="15.75">
      <c r="C469" s="454" t="s">
        <v>1160</v>
      </c>
      <c r="D469" s="456" t="s">
        <v>22</v>
      </c>
      <c r="E469" s="457" t="s">
        <v>32</v>
      </c>
      <c r="F469" s="457" t="s">
        <v>20</v>
      </c>
      <c r="G469" s="457" t="s">
        <v>21</v>
      </c>
      <c r="H469" s="460" t="s">
        <v>24</v>
      </c>
      <c r="I469" s="460" t="s">
        <v>25</v>
      </c>
      <c r="J469" s="460" t="s">
        <v>34</v>
      </c>
      <c r="K469" s="461" t="s">
        <v>33</v>
      </c>
    </row>
    <row r="470" spans="3:11" ht="15.75">
      <c r="C470" s="454" t="s">
        <v>1159</v>
      </c>
      <c r="D470" s="456" t="s">
        <v>22</v>
      </c>
      <c r="E470" s="457" t="s">
        <v>841</v>
      </c>
      <c r="F470" s="457" t="s">
        <v>20</v>
      </c>
      <c r="G470" s="457" t="s">
        <v>21</v>
      </c>
      <c r="H470" s="460" t="s">
        <v>24</v>
      </c>
      <c r="I470" s="460" t="s">
        <v>25</v>
      </c>
      <c r="J470" s="460" t="s">
        <v>34</v>
      </c>
      <c r="K470" s="461" t="s">
        <v>32</v>
      </c>
    </row>
    <row r="471" spans="3:11" ht="15.75">
      <c r="C471" s="454" t="s">
        <v>1158</v>
      </c>
      <c r="D471" s="456" t="s">
        <v>22</v>
      </c>
      <c r="E471" s="457" t="s">
        <v>841</v>
      </c>
      <c r="F471" s="457" t="s">
        <v>20</v>
      </c>
      <c r="G471" s="457" t="s">
        <v>21</v>
      </c>
      <c r="H471" s="460" t="s">
        <v>24</v>
      </c>
      <c r="I471" s="460" t="s">
        <v>25</v>
      </c>
      <c r="J471" s="460" t="s">
        <v>32</v>
      </c>
      <c r="K471" s="461" t="s">
        <v>33</v>
      </c>
    </row>
    <row r="472" spans="3:11" ht="15.75">
      <c r="C472" s="454" t="s">
        <v>1157</v>
      </c>
      <c r="D472" s="456" t="s">
        <v>31</v>
      </c>
      <c r="E472" s="457" t="s">
        <v>22</v>
      </c>
      <c r="F472" s="457" t="s">
        <v>20</v>
      </c>
      <c r="G472" s="457" t="s">
        <v>21</v>
      </c>
      <c r="H472" s="460" t="s">
        <v>24</v>
      </c>
      <c r="I472" s="460" t="s">
        <v>25</v>
      </c>
      <c r="J472" s="460" t="s">
        <v>34</v>
      </c>
      <c r="K472" s="461" t="s">
        <v>33</v>
      </c>
    </row>
    <row r="473" spans="3:11" ht="15.75">
      <c r="C473" s="454" t="s">
        <v>1156</v>
      </c>
      <c r="D473" s="456" t="s">
        <v>31</v>
      </c>
      <c r="E473" s="457" t="s">
        <v>841</v>
      </c>
      <c r="F473" s="457" t="s">
        <v>20</v>
      </c>
      <c r="G473" s="457" t="s">
        <v>21</v>
      </c>
      <c r="H473" s="460" t="s">
        <v>24</v>
      </c>
      <c r="I473" s="460" t="s">
        <v>25</v>
      </c>
      <c r="J473" s="460" t="s">
        <v>34</v>
      </c>
      <c r="K473" s="461" t="s">
        <v>22</v>
      </c>
    </row>
    <row r="474" spans="3:11" ht="15.75">
      <c r="C474" s="454" t="s">
        <v>1155</v>
      </c>
      <c r="D474" s="456" t="s">
        <v>31</v>
      </c>
      <c r="E474" s="457" t="s">
        <v>841</v>
      </c>
      <c r="F474" s="457" t="s">
        <v>20</v>
      </c>
      <c r="G474" s="457" t="s">
        <v>21</v>
      </c>
      <c r="H474" s="460" t="s">
        <v>24</v>
      </c>
      <c r="I474" s="460" t="s">
        <v>25</v>
      </c>
      <c r="J474" s="460" t="s">
        <v>22</v>
      </c>
      <c r="K474" s="461" t="s">
        <v>33</v>
      </c>
    </row>
    <row r="475" spans="3:11" ht="15.75">
      <c r="C475" s="454" t="s">
        <v>1154</v>
      </c>
      <c r="D475" s="456" t="s">
        <v>31</v>
      </c>
      <c r="E475" s="457" t="s">
        <v>22</v>
      </c>
      <c r="F475" s="457" t="s">
        <v>20</v>
      </c>
      <c r="G475" s="457" t="s">
        <v>21</v>
      </c>
      <c r="H475" s="460" t="s">
        <v>24</v>
      </c>
      <c r="I475" s="460" t="s">
        <v>25</v>
      </c>
      <c r="J475" s="460" t="s">
        <v>34</v>
      </c>
      <c r="K475" s="461" t="s">
        <v>32</v>
      </c>
    </row>
    <row r="476" spans="3:11" ht="15.75">
      <c r="C476" s="454" t="s">
        <v>1153</v>
      </c>
      <c r="D476" s="456" t="s">
        <v>31</v>
      </c>
      <c r="E476" s="457" t="s">
        <v>22</v>
      </c>
      <c r="F476" s="457" t="s">
        <v>20</v>
      </c>
      <c r="G476" s="457" t="s">
        <v>21</v>
      </c>
      <c r="H476" s="460" t="s">
        <v>24</v>
      </c>
      <c r="I476" s="460" t="s">
        <v>25</v>
      </c>
      <c r="J476" s="460" t="s">
        <v>32</v>
      </c>
      <c r="K476" s="461" t="s">
        <v>33</v>
      </c>
    </row>
    <row r="477" spans="3:11" ht="15.75">
      <c r="C477" s="454" t="s">
        <v>1152</v>
      </c>
      <c r="D477" s="456" t="s">
        <v>31</v>
      </c>
      <c r="E477" s="457" t="s">
        <v>841</v>
      </c>
      <c r="F477" s="457" t="s">
        <v>20</v>
      </c>
      <c r="G477" s="457" t="s">
        <v>21</v>
      </c>
      <c r="H477" s="460" t="s">
        <v>24</v>
      </c>
      <c r="I477" s="460" t="s">
        <v>25</v>
      </c>
      <c r="J477" s="460" t="s">
        <v>22</v>
      </c>
      <c r="K477" s="461" t="s">
        <v>32</v>
      </c>
    </row>
    <row r="478" spans="3:11" ht="15.75">
      <c r="C478" s="454" t="s">
        <v>1151</v>
      </c>
      <c r="D478" s="456" t="s">
        <v>22</v>
      </c>
      <c r="E478" s="457" t="s">
        <v>272</v>
      </c>
      <c r="F478" s="457" t="s">
        <v>20</v>
      </c>
      <c r="G478" s="457" t="s">
        <v>21</v>
      </c>
      <c r="H478" s="460" t="s">
        <v>24</v>
      </c>
      <c r="I478" s="460" t="s">
        <v>25</v>
      </c>
      <c r="J478" s="460" t="s">
        <v>34</v>
      </c>
      <c r="K478" s="461" t="s">
        <v>33</v>
      </c>
    </row>
    <row r="479" spans="3:11" ht="15.75">
      <c r="C479" s="454" t="s">
        <v>1150</v>
      </c>
      <c r="D479" s="456" t="s">
        <v>22</v>
      </c>
      <c r="E479" s="457" t="s">
        <v>272</v>
      </c>
      <c r="F479" s="457" t="s">
        <v>20</v>
      </c>
      <c r="G479" s="457" t="s">
        <v>21</v>
      </c>
      <c r="H479" s="460" t="s">
        <v>24</v>
      </c>
      <c r="I479" s="460" t="s">
        <v>25</v>
      </c>
      <c r="J479" s="460" t="s">
        <v>34</v>
      </c>
      <c r="K479" s="461" t="s">
        <v>841</v>
      </c>
    </row>
    <row r="480" spans="3:11" ht="15.75">
      <c r="C480" s="454" t="s">
        <v>1149</v>
      </c>
      <c r="D480" s="456" t="s">
        <v>22</v>
      </c>
      <c r="E480" s="457" t="s">
        <v>272</v>
      </c>
      <c r="F480" s="457" t="s">
        <v>20</v>
      </c>
      <c r="G480" s="457" t="s">
        <v>21</v>
      </c>
      <c r="H480" s="460" t="s">
        <v>24</v>
      </c>
      <c r="I480" s="460" t="s">
        <v>25</v>
      </c>
      <c r="J480" s="460" t="s">
        <v>841</v>
      </c>
      <c r="K480" s="461" t="s">
        <v>33</v>
      </c>
    </row>
    <row r="481" spans="3:11" ht="15.75">
      <c r="C481" s="454" t="s">
        <v>1148</v>
      </c>
      <c r="D481" s="456" t="s">
        <v>22</v>
      </c>
      <c r="E481" s="457" t="s">
        <v>272</v>
      </c>
      <c r="F481" s="457" t="s">
        <v>20</v>
      </c>
      <c r="G481" s="457" t="s">
        <v>21</v>
      </c>
      <c r="H481" s="460" t="s">
        <v>24</v>
      </c>
      <c r="I481" s="460" t="s">
        <v>25</v>
      </c>
      <c r="J481" s="460" t="s">
        <v>34</v>
      </c>
      <c r="K481" s="461" t="s">
        <v>32</v>
      </c>
    </row>
    <row r="482" spans="3:11" ht="15.75">
      <c r="C482" s="454" t="s">
        <v>1147</v>
      </c>
      <c r="D482" s="456" t="s">
        <v>22</v>
      </c>
      <c r="E482" s="457" t="s">
        <v>272</v>
      </c>
      <c r="F482" s="457" t="s">
        <v>20</v>
      </c>
      <c r="G482" s="457" t="s">
        <v>21</v>
      </c>
      <c r="H482" s="460" t="s">
        <v>24</v>
      </c>
      <c r="I482" s="460" t="s">
        <v>25</v>
      </c>
      <c r="J482" s="460" t="s">
        <v>32</v>
      </c>
      <c r="K482" s="461" t="s">
        <v>33</v>
      </c>
    </row>
    <row r="483" spans="3:11" ht="15.75">
      <c r="C483" s="454" t="s">
        <v>1146</v>
      </c>
      <c r="D483" s="456" t="s">
        <v>22</v>
      </c>
      <c r="E483" s="457" t="s">
        <v>272</v>
      </c>
      <c r="F483" s="457" t="s">
        <v>20</v>
      </c>
      <c r="G483" s="457" t="s">
        <v>21</v>
      </c>
      <c r="H483" s="460" t="s">
        <v>24</v>
      </c>
      <c r="I483" s="460" t="s">
        <v>25</v>
      </c>
      <c r="J483" s="460" t="s">
        <v>32</v>
      </c>
      <c r="K483" s="461" t="s">
        <v>841</v>
      </c>
    </row>
    <row r="484" spans="3:11" ht="15.75">
      <c r="C484" s="454" t="s">
        <v>1145</v>
      </c>
      <c r="D484" s="456" t="s">
        <v>31</v>
      </c>
      <c r="E484" s="457" t="s">
        <v>272</v>
      </c>
      <c r="F484" s="457" t="s">
        <v>20</v>
      </c>
      <c r="G484" s="457" t="s">
        <v>21</v>
      </c>
      <c r="H484" s="460" t="s">
        <v>24</v>
      </c>
      <c r="I484" s="460" t="s">
        <v>25</v>
      </c>
      <c r="J484" s="460" t="s">
        <v>34</v>
      </c>
      <c r="K484" s="461" t="s">
        <v>22</v>
      </c>
    </row>
    <row r="485" spans="3:11" ht="15.75">
      <c r="C485" s="454" t="s">
        <v>1144</v>
      </c>
      <c r="D485" s="456" t="s">
        <v>31</v>
      </c>
      <c r="E485" s="457" t="s">
        <v>272</v>
      </c>
      <c r="F485" s="457" t="s">
        <v>20</v>
      </c>
      <c r="G485" s="457" t="s">
        <v>21</v>
      </c>
      <c r="H485" s="460" t="s">
        <v>24</v>
      </c>
      <c r="I485" s="460" t="s">
        <v>25</v>
      </c>
      <c r="J485" s="460" t="s">
        <v>22</v>
      </c>
      <c r="K485" s="461" t="s">
        <v>33</v>
      </c>
    </row>
    <row r="486" spans="3:11" ht="15.75">
      <c r="C486" s="454" t="s">
        <v>1143</v>
      </c>
      <c r="D486" s="456" t="s">
        <v>31</v>
      </c>
      <c r="E486" s="457" t="s">
        <v>272</v>
      </c>
      <c r="F486" s="457" t="s">
        <v>20</v>
      </c>
      <c r="G486" s="457" t="s">
        <v>21</v>
      </c>
      <c r="H486" s="460" t="s">
        <v>24</v>
      </c>
      <c r="I486" s="460" t="s">
        <v>25</v>
      </c>
      <c r="J486" s="460" t="s">
        <v>22</v>
      </c>
      <c r="K486" s="461" t="s">
        <v>841</v>
      </c>
    </row>
    <row r="487" spans="3:11" ht="15.75">
      <c r="C487" s="454" t="s">
        <v>1142</v>
      </c>
      <c r="D487" s="456" t="s">
        <v>31</v>
      </c>
      <c r="E487" s="457" t="s">
        <v>272</v>
      </c>
      <c r="F487" s="457" t="s">
        <v>20</v>
      </c>
      <c r="G487" s="457" t="s">
        <v>21</v>
      </c>
      <c r="H487" s="460" t="s">
        <v>24</v>
      </c>
      <c r="I487" s="460" t="s">
        <v>25</v>
      </c>
      <c r="J487" s="460" t="s">
        <v>22</v>
      </c>
      <c r="K487" s="461" t="s">
        <v>32</v>
      </c>
    </row>
    <row r="488" spans="3:11" ht="15.75">
      <c r="C488" s="454" t="s">
        <v>1141</v>
      </c>
      <c r="D488" s="456" t="s">
        <v>21</v>
      </c>
      <c r="E488" s="457" t="s">
        <v>22</v>
      </c>
      <c r="F488" s="457" t="s">
        <v>20</v>
      </c>
      <c r="G488" s="457" t="s">
        <v>25</v>
      </c>
      <c r="H488" s="460" t="s">
        <v>24</v>
      </c>
      <c r="I488" s="460" t="s">
        <v>23</v>
      </c>
      <c r="J488" s="460" t="s">
        <v>34</v>
      </c>
      <c r="K488" s="461" t="s">
        <v>33</v>
      </c>
    </row>
    <row r="489" spans="3:11" ht="15.75">
      <c r="C489" s="454" t="s">
        <v>1140</v>
      </c>
      <c r="D489" s="456" t="s">
        <v>21</v>
      </c>
      <c r="E489" s="457" t="s">
        <v>841</v>
      </c>
      <c r="F489" s="457" t="s">
        <v>20</v>
      </c>
      <c r="G489" s="457" t="s">
        <v>25</v>
      </c>
      <c r="H489" s="460" t="s">
        <v>24</v>
      </c>
      <c r="I489" s="460" t="s">
        <v>23</v>
      </c>
      <c r="J489" s="460" t="s">
        <v>34</v>
      </c>
      <c r="K489" s="461" t="s">
        <v>22</v>
      </c>
    </row>
    <row r="490" spans="3:11" ht="15.75">
      <c r="C490" s="454" t="s">
        <v>1139</v>
      </c>
      <c r="D490" s="456" t="s">
        <v>21</v>
      </c>
      <c r="E490" s="457" t="s">
        <v>841</v>
      </c>
      <c r="F490" s="457" t="s">
        <v>20</v>
      </c>
      <c r="G490" s="457" t="s">
        <v>25</v>
      </c>
      <c r="H490" s="460" t="s">
        <v>24</v>
      </c>
      <c r="I490" s="460" t="s">
        <v>23</v>
      </c>
      <c r="J490" s="460" t="s">
        <v>22</v>
      </c>
      <c r="K490" s="461" t="s">
        <v>33</v>
      </c>
    </row>
    <row r="491" spans="3:11" ht="15.75">
      <c r="C491" s="454" t="s">
        <v>1138</v>
      </c>
      <c r="D491" s="456" t="s">
        <v>21</v>
      </c>
      <c r="E491" s="457" t="s">
        <v>22</v>
      </c>
      <c r="F491" s="457" t="s">
        <v>20</v>
      </c>
      <c r="G491" s="457" t="s">
        <v>25</v>
      </c>
      <c r="H491" s="460" t="s">
        <v>24</v>
      </c>
      <c r="I491" s="460" t="s">
        <v>23</v>
      </c>
      <c r="J491" s="460" t="s">
        <v>34</v>
      </c>
      <c r="K491" s="461" t="s">
        <v>32</v>
      </c>
    </row>
    <row r="492" spans="3:11" ht="15.75">
      <c r="C492" s="454" t="s">
        <v>1137</v>
      </c>
      <c r="D492" s="456" t="s">
        <v>21</v>
      </c>
      <c r="E492" s="457" t="s">
        <v>22</v>
      </c>
      <c r="F492" s="457" t="s">
        <v>20</v>
      </c>
      <c r="G492" s="457" t="s">
        <v>25</v>
      </c>
      <c r="H492" s="460" t="s">
        <v>24</v>
      </c>
      <c r="I492" s="460" t="s">
        <v>23</v>
      </c>
      <c r="J492" s="460" t="s">
        <v>32</v>
      </c>
      <c r="K492" s="461" t="s">
        <v>33</v>
      </c>
    </row>
    <row r="493" spans="3:11" ht="15.75">
      <c r="C493" s="454" t="s">
        <v>1136</v>
      </c>
      <c r="D493" s="456" t="s">
        <v>21</v>
      </c>
      <c r="E493" s="457" t="s">
        <v>841</v>
      </c>
      <c r="F493" s="457" t="s">
        <v>20</v>
      </c>
      <c r="G493" s="457" t="s">
        <v>25</v>
      </c>
      <c r="H493" s="460" t="s">
        <v>24</v>
      </c>
      <c r="I493" s="460" t="s">
        <v>23</v>
      </c>
      <c r="J493" s="460" t="s">
        <v>22</v>
      </c>
      <c r="K493" s="461" t="s">
        <v>32</v>
      </c>
    </row>
    <row r="494" spans="3:11" ht="15.75">
      <c r="C494" s="454" t="s">
        <v>1135</v>
      </c>
      <c r="D494" s="456" t="s">
        <v>31</v>
      </c>
      <c r="E494" s="457" t="s">
        <v>23</v>
      </c>
      <c r="F494" s="457" t="s">
        <v>20</v>
      </c>
      <c r="G494" s="457" t="s">
        <v>21</v>
      </c>
      <c r="H494" s="460" t="s">
        <v>24</v>
      </c>
      <c r="I494" s="460" t="s">
        <v>25</v>
      </c>
      <c r="J494" s="460" t="s">
        <v>34</v>
      </c>
      <c r="K494" s="461" t="s">
        <v>22</v>
      </c>
    </row>
    <row r="495" spans="3:11" ht="15.75">
      <c r="C495" s="454" t="s">
        <v>1134</v>
      </c>
      <c r="D495" s="456" t="s">
        <v>31</v>
      </c>
      <c r="E495" s="457" t="s">
        <v>22</v>
      </c>
      <c r="F495" s="457" t="s">
        <v>20</v>
      </c>
      <c r="G495" s="457" t="s">
        <v>21</v>
      </c>
      <c r="H495" s="460" t="s">
        <v>24</v>
      </c>
      <c r="I495" s="460" t="s">
        <v>23</v>
      </c>
      <c r="J495" s="460" t="s">
        <v>25</v>
      </c>
      <c r="K495" s="461" t="s">
        <v>33</v>
      </c>
    </row>
    <row r="496" spans="3:11" ht="15.75">
      <c r="C496" s="454" t="s">
        <v>1133</v>
      </c>
      <c r="D496" s="456" t="s">
        <v>31</v>
      </c>
      <c r="E496" s="457" t="s">
        <v>841</v>
      </c>
      <c r="F496" s="457" t="s">
        <v>20</v>
      </c>
      <c r="G496" s="457" t="s">
        <v>21</v>
      </c>
      <c r="H496" s="460" t="s">
        <v>24</v>
      </c>
      <c r="I496" s="460" t="s">
        <v>23</v>
      </c>
      <c r="J496" s="460" t="s">
        <v>25</v>
      </c>
      <c r="K496" s="461" t="s">
        <v>22</v>
      </c>
    </row>
    <row r="497" spans="3:11" ht="15.75">
      <c r="C497" s="454" t="s">
        <v>1132</v>
      </c>
      <c r="D497" s="456" t="s">
        <v>31</v>
      </c>
      <c r="E497" s="457" t="s">
        <v>22</v>
      </c>
      <c r="F497" s="457" t="s">
        <v>20</v>
      </c>
      <c r="G497" s="457" t="s">
        <v>21</v>
      </c>
      <c r="H497" s="460" t="s">
        <v>24</v>
      </c>
      <c r="I497" s="460" t="s">
        <v>23</v>
      </c>
      <c r="J497" s="460" t="s">
        <v>25</v>
      </c>
      <c r="K497" s="461" t="s">
        <v>32</v>
      </c>
    </row>
    <row r="498" spans="3:11" ht="15.75">
      <c r="C498" s="454" t="s">
        <v>1131</v>
      </c>
      <c r="D498" s="456" t="s">
        <v>21</v>
      </c>
      <c r="E498" s="457" t="s">
        <v>272</v>
      </c>
      <c r="F498" s="457" t="s">
        <v>20</v>
      </c>
      <c r="G498" s="457" t="s">
        <v>25</v>
      </c>
      <c r="H498" s="460" t="s">
        <v>24</v>
      </c>
      <c r="I498" s="460" t="s">
        <v>23</v>
      </c>
      <c r="J498" s="460" t="s">
        <v>34</v>
      </c>
      <c r="K498" s="461" t="s">
        <v>22</v>
      </c>
    </row>
    <row r="499" spans="3:11" ht="15.75">
      <c r="C499" s="454" t="s">
        <v>1130</v>
      </c>
      <c r="D499" s="456" t="s">
        <v>21</v>
      </c>
      <c r="E499" s="457" t="s">
        <v>272</v>
      </c>
      <c r="F499" s="457" t="s">
        <v>20</v>
      </c>
      <c r="G499" s="457" t="s">
        <v>25</v>
      </c>
      <c r="H499" s="460" t="s">
        <v>24</v>
      </c>
      <c r="I499" s="460" t="s">
        <v>23</v>
      </c>
      <c r="J499" s="460" t="s">
        <v>22</v>
      </c>
      <c r="K499" s="461" t="s">
        <v>33</v>
      </c>
    </row>
    <row r="500" spans="3:11" ht="15.75">
      <c r="C500" s="454" t="s">
        <v>1129</v>
      </c>
      <c r="D500" s="456" t="s">
        <v>21</v>
      </c>
      <c r="E500" s="457" t="s">
        <v>272</v>
      </c>
      <c r="F500" s="457" t="s">
        <v>20</v>
      </c>
      <c r="G500" s="457" t="s">
        <v>25</v>
      </c>
      <c r="H500" s="460" t="s">
        <v>24</v>
      </c>
      <c r="I500" s="460" t="s">
        <v>23</v>
      </c>
      <c r="J500" s="460" t="s">
        <v>22</v>
      </c>
      <c r="K500" s="461" t="s">
        <v>841</v>
      </c>
    </row>
    <row r="501" spans="3:11" ht="15.75">
      <c r="C501" s="454" t="s">
        <v>1128</v>
      </c>
      <c r="D501" s="456" t="s">
        <v>21</v>
      </c>
      <c r="E501" s="457" t="s">
        <v>272</v>
      </c>
      <c r="F501" s="457" t="s">
        <v>20</v>
      </c>
      <c r="G501" s="457" t="s">
        <v>25</v>
      </c>
      <c r="H501" s="460" t="s">
        <v>24</v>
      </c>
      <c r="I501" s="460" t="s">
        <v>23</v>
      </c>
      <c r="J501" s="460" t="s">
        <v>22</v>
      </c>
      <c r="K501" s="461" t="s">
        <v>32</v>
      </c>
    </row>
    <row r="502" spans="3:11" ht="16.5" thickBot="1">
      <c r="C502" s="455" t="s">
        <v>1127</v>
      </c>
      <c r="D502" s="462" t="s">
        <v>31</v>
      </c>
      <c r="E502" s="463" t="s">
        <v>272</v>
      </c>
      <c r="F502" s="463" t="s">
        <v>20</v>
      </c>
      <c r="G502" s="463" t="s">
        <v>21</v>
      </c>
      <c r="H502" s="464" t="s">
        <v>24</v>
      </c>
      <c r="I502" s="464" t="s">
        <v>23</v>
      </c>
      <c r="J502" s="464" t="s">
        <v>25</v>
      </c>
      <c r="K502" s="465" t="s">
        <v>22</v>
      </c>
    </row>
    <row r="503" spans="3:11" ht="15.75" thickTop="1">
      <c r="H503" s="382"/>
      <c r="I503" s="382"/>
      <c r="J503" s="382"/>
      <c r="K503" s="382"/>
    </row>
    <row r="504" spans="3:11"/>
  </sheetData>
  <sheetProtection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election activeCell="K35" sqref="K35"/>
    </sheetView>
  </sheetViews>
  <sheetFormatPr defaultColWidth="11.42578125" defaultRowHeight="1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9" t="str">
        <f>Language!$E$180</f>
        <v>Derde van de groep</v>
      </c>
    </row>
    <row r="2" spans="1:19" ht="38.25" customHeight="1"/>
    <row r="3" spans="1:19">
      <c r="A3" s="470"/>
      <c r="B3" s="35"/>
      <c r="C3" s="34"/>
      <c r="D3" s="468" t="s">
        <v>1107</v>
      </c>
      <c r="E3" s="468" t="s">
        <v>190</v>
      </c>
      <c r="F3" s="468" t="s">
        <v>1108</v>
      </c>
      <c r="G3" s="468" t="s">
        <v>1109</v>
      </c>
      <c r="H3" s="468" t="s">
        <v>191</v>
      </c>
      <c r="I3" s="468" t="s">
        <v>198</v>
      </c>
      <c r="J3" s="468"/>
      <c r="K3" s="468" t="s">
        <v>30</v>
      </c>
      <c r="L3" s="651" t="s">
        <v>1725</v>
      </c>
    </row>
    <row r="4" spans="1:19">
      <c r="A4" s="382"/>
      <c r="B4" s="522" t="s">
        <v>26</v>
      </c>
      <c r="C4" s="523" t="str">
        <f>CalcA!$D$24</f>
        <v>Tsjechië</v>
      </c>
      <c r="D4" s="522">
        <f>CalcA!$E$24</f>
        <v>3</v>
      </c>
      <c r="E4" s="522">
        <f>F4-G4</f>
        <v>0</v>
      </c>
      <c r="F4" s="522">
        <f>CalcA!$F$24</f>
        <v>0</v>
      </c>
      <c r="G4" s="522">
        <f>CalcA!$G$24</f>
        <v>0</v>
      </c>
      <c r="H4" s="524">
        <f t="shared" ref="H4:H15" si="0">$D4*$S$4+($E4+$S$5/2)*$S$5+$F4*$S$6+$K4*$S$7+$L4*$S$8</f>
        <v>3500000.0000590002</v>
      </c>
      <c r="I4" s="522" t="s">
        <v>24</v>
      </c>
      <c r="J4" s="522"/>
      <c r="K4" s="522">
        <f>SUMIFS(FairPlay!$C$6:$C$27,FairPlay!$B$6:$B$27,$C4)+SUMIFS(FairPlay!$F$6:$F$27,FairPlay!$E$6:$E$27,$C4)+SUMIFS(FairPlay!$I$6:$I$27,FairPlay!$H$6:$H$27,$C4)</f>
        <v>0</v>
      </c>
      <c r="L4" s="522">
        <f>100-INDEX(Language!$D$5:$D$100,MATCH($C4,Language!$E$5:$E$100,0),1)</f>
        <v>59</v>
      </c>
      <c r="R4" s="815" t="s">
        <v>1798</v>
      </c>
      <c r="S4" s="816">
        <v>1000000</v>
      </c>
    </row>
    <row r="5" spans="1:19">
      <c r="A5" s="382"/>
      <c r="B5" s="467" t="s">
        <v>27</v>
      </c>
      <c r="C5" s="27" t="str">
        <f>CalcB!$D$24</f>
        <v>Qatar</v>
      </c>
      <c r="D5" s="467">
        <f>CalcB!$E$24</f>
        <v>3</v>
      </c>
      <c r="E5" s="467">
        <f t="shared" ref="E5:E15" si="1">F5-G5</f>
        <v>0</v>
      </c>
      <c r="F5" s="467">
        <f>CalcB!$F$24</f>
        <v>0</v>
      </c>
      <c r="G5" s="467">
        <f>CalcB!$G$24</f>
        <v>0</v>
      </c>
      <c r="H5" s="525">
        <f t="shared" si="0"/>
        <v>3500000.0000450001</v>
      </c>
      <c r="I5" s="467" t="s">
        <v>20</v>
      </c>
      <c r="J5" s="467"/>
      <c r="K5" s="467">
        <f>SUMIFS(FairPlay!$C$6:$C$27,FairPlay!$B$6:$B$27,$C5)+SUMIFS(FairPlay!$F$6:$F$27,FairPlay!$E$6:$E$27,$C5)+SUMIFS(FairPlay!$I$6:$I$27,FairPlay!$H$6:$H$27,$C5)</f>
        <v>0</v>
      </c>
      <c r="L5" s="467">
        <f>100-INDEX(Language!$D$5:$D$100,MATCH($C5,Language!$E$5:$E$100,0),1)</f>
        <v>45</v>
      </c>
      <c r="R5" s="817" t="s">
        <v>1797</v>
      </c>
      <c r="S5" s="818">
        <v>1000</v>
      </c>
    </row>
    <row r="6" spans="1:19">
      <c r="A6" s="382"/>
      <c r="B6" s="467" t="s">
        <v>28</v>
      </c>
      <c r="C6" s="27" t="str">
        <f>CalcC!$D$24</f>
        <v>Schotland</v>
      </c>
      <c r="D6" s="467">
        <f>CalcC!$E$24</f>
        <v>3</v>
      </c>
      <c r="E6" s="467">
        <f t="shared" si="1"/>
        <v>0</v>
      </c>
      <c r="F6" s="467">
        <f>CalcC!$F$24</f>
        <v>0</v>
      </c>
      <c r="G6" s="467">
        <f>CalcC!$G$24</f>
        <v>0</v>
      </c>
      <c r="H6" s="525">
        <f t="shared" si="0"/>
        <v>3500000.0000570002</v>
      </c>
      <c r="I6" s="467" t="s">
        <v>21</v>
      </c>
      <c r="J6" s="467"/>
      <c r="K6" s="467">
        <f>SUMIFS(FairPlay!$C$6:$C$27,FairPlay!$B$6:$B$27,$C6)+SUMIFS(FairPlay!$F$6:$F$27,FairPlay!$E$6:$E$27,$C6)+SUMIFS(FairPlay!$I$6:$I$27,FairPlay!$H$6:$H$27,$C6)</f>
        <v>0</v>
      </c>
      <c r="L6" s="467">
        <f>100-INDEX(Language!$D$5:$D$100,MATCH($C6,Language!$E$5:$E$100,0),1)</f>
        <v>57</v>
      </c>
      <c r="R6" s="817" t="s">
        <v>1796</v>
      </c>
      <c r="S6" s="818">
        <v>1</v>
      </c>
    </row>
    <row r="7" spans="1:19">
      <c r="A7" s="382"/>
      <c r="B7" s="467" t="s">
        <v>29</v>
      </c>
      <c r="C7" s="27" t="str">
        <f>CalcD!$D$24</f>
        <v>Australië</v>
      </c>
      <c r="D7" s="467">
        <f>CalcD!$E$24</f>
        <v>3</v>
      </c>
      <c r="E7" s="467">
        <f t="shared" si="1"/>
        <v>0</v>
      </c>
      <c r="F7" s="467">
        <f>CalcD!$F$24</f>
        <v>0</v>
      </c>
      <c r="G7" s="467">
        <f>CalcD!$G$24</f>
        <v>0</v>
      </c>
      <c r="H7" s="525">
        <f t="shared" si="0"/>
        <v>3500000.0000729999</v>
      </c>
      <c r="I7" s="467" t="s">
        <v>25</v>
      </c>
      <c r="J7" s="467"/>
      <c r="K7" s="467">
        <f>SUMIFS(FairPlay!$C$6:$C$27,FairPlay!$B$6:$B$27,$C7)+SUMIFS(FairPlay!$F$6:$F$27,FairPlay!$E$6:$E$27,$C7)+SUMIFS(FairPlay!$I$6:$I$27,FairPlay!$H$6:$H$27,$C7)</f>
        <v>0</v>
      </c>
      <c r="L7" s="467">
        <f>100-INDEX(Language!$D$5:$D$100,MATCH($C7,Language!$E$5:$E$100,0),1)</f>
        <v>73</v>
      </c>
      <c r="R7" s="817" t="s">
        <v>1799</v>
      </c>
      <c r="S7" s="818">
        <v>1E-3</v>
      </c>
    </row>
    <row r="8" spans="1:19">
      <c r="A8" s="382"/>
      <c r="B8" s="467" t="s">
        <v>1111</v>
      </c>
      <c r="C8" s="27" t="str">
        <f>CalcE!$D$24</f>
        <v>Ivoorkust</v>
      </c>
      <c r="D8" s="467">
        <f>CalcE!$E$24</f>
        <v>3</v>
      </c>
      <c r="E8" s="467">
        <f t="shared" si="1"/>
        <v>0</v>
      </c>
      <c r="F8" s="467">
        <f>CalcE!$F$24</f>
        <v>0</v>
      </c>
      <c r="G8" s="467">
        <f>CalcE!$G$24</f>
        <v>0</v>
      </c>
      <c r="H8" s="525">
        <f t="shared" si="0"/>
        <v>3500000.000066</v>
      </c>
      <c r="I8" s="467" t="s">
        <v>22</v>
      </c>
      <c r="J8" s="467"/>
      <c r="K8" s="467">
        <f>SUMIFS(FairPlay!$C$6:$C$27,FairPlay!$B$6:$B$27,$C8)+SUMIFS(FairPlay!$F$6:$F$27,FairPlay!$E$6:$E$27,$C8)+SUMIFS(FairPlay!$I$6:$I$27,FairPlay!$H$6:$H$27,$C8)</f>
        <v>0</v>
      </c>
      <c r="L8" s="467">
        <f>100-INDEX(Language!$D$5:$D$100,MATCH($C8,Language!$E$5:$E$100,0),1)</f>
        <v>66</v>
      </c>
      <c r="R8" s="819" t="s">
        <v>1800</v>
      </c>
      <c r="S8" s="820">
        <v>9.9999999999999995E-7</v>
      </c>
    </row>
    <row r="9" spans="1:19">
      <c r="A9" s="382"/>
      <c r="B9" s="467" t="s">
        <v>1112</v>
      </c>
      <c r="C9" s="27" t="str">
        <f>CalcF!$D$24</f>
        <v>Zweden</v>
      </c>
      <c r="D9" s="467">
        <f>CalcF!$E$24</f>
        <v>3</v>
      </c>
      <c r="E9" s="467">
        <f t="shared" si="1"/>
        <v>0</v>
      </c>
      <c r="F9" s="467">
        <f>CalcF!$F$24</f>
        <v>0</v>
      </c>
      <c r="G9" s="467">
        <f>CalcF!$G$24</f>
        <v>0</v>
      </c>
      <c r="H9" s="525">
        <f t="shared" si="0"/>
        <v>3500000.000062</v>
      </c>
      <c r="I9" s="467" t="s">
        <v>23</v>
      </c>
      <c r="J9" s="467"/>
      <c r="K9" s="467">
        <f>SUMIFS(FairPlay!$C$6:$C$27,FairPlay!$B$6:$B$27,$C9)+SUMIFS(FairPlay!$F$6:$F$27,FairPlay!$E$6:$E$27,$C9)+SUMIFS(FairPlay!$I$6:$I$27,FairPlay!$H$6:$H$27,$C9)</f>
        <v>0</v>
      </c>
      <c r="L9" s="467">
        <f>100-INDEX(Language!$D$5:$D$100,MATCH($C9,Language!$E$5:$E$100,0),1)</f>
        <v>62</v>
      </c>
    </row>
    <row r="10" spans="1:19">
      <c r="A10" s="382"/>
      <c r="B10" s="467" t="s">
        <v>1115</v>
      </c>
      <c r="C10" s="27" t="str">
        <f>CalcG!$D$24</f>
        <v>Iran</v>
      </c>
      <c r="D10" s="467">
        <f>CalcG!$E$24</f>
        <v>2</v>
      </c>
      <c r="E10" s="467">
        <f t="shared" si="1"/>
        <v>0</v>
      </c>
      <c r="F10" s="467">
        <f>CalcG!$F$24</f>
        <v>0</v>
      </c>
      <c r="G10" s="467">
        <f>CalcG!$G$24</f>
        <v>0</v>
      </c>
      <c r="H10" s="525">
        <f t="shared" si="0"/>
        <v>2500000.0000789999</v>
      </c>
      <c r="I10" s="467" t="s">
        <v>272</v>
      </c>
      <c r="J10" s="467"/>
      <c r="K10" s="467">
        <f>SUMIFS(FairPlay!$C$6:$C$27,FairPlay!$B$6:$B$27,$C10)+SUMIFS(FairPlay!$F$6:$F$27,FairPlay!$E$6:$E$27,$C10)+SUMIFS(FairPlay!$I$6:$I$27,FairPlay!$H$6:$H$27,$C10)</f>
        <v>0</v>
      </c>
      <c r="L10" s="467">
        <f>100-INDEX(Language!$D$5:$D$100,MATCH($C10,Language!$E$5:$E$100,0),1)</f>
        <v>79</v>
      </c>
    </row>
    <row r="11" spans="1:19">
      <c r="A11" s="382"/>
      <c r="B11" s="467" t="s">
        <v>1116</v>
      </c>
      <c r="C11" s="27" t="str">
        <f>CalcH!$D$24</f>
        <v>Saoedi-Arabië</v>
      </c>
      <c r="D11" s="467">
        <f>CalcH!$E$24</f>
        <v>3</v>
      </c>
      <c r="E11" s="467">
        <f t="shared" si="1"/>
        <v>0</v>
      </c>
      <c r="F11" s="467">
        <f>CalcH!$F$24</f>
        <v>0</v>
      </c>
      <c r="G11" s="467">
        <f>CalcH!$G$24</f>
        <v>0</v>
      </c>
      <c r="H11" s="525">
        <f t="shared" si="0"/>
        <v>3500000.0000390001</v>
      </c>
      <c r="I11" s="467" t="s">
        <v>31</v>
      </c>
      <c r="J11" s="467"/>
      <c r="K11" s="467">
        <f>SUMIFS(FairPlay!$C$6:$C$27,FairPlay!$B$6:$B$27,$C11)+SUMIFS(FairPlay!$F$6:$F$27,FairPlay!$E$6:$E$27,$C11)+SUMIFS(FairPlay!$I$6:$I$27,FairPlay!$H$6:$H$27,$C11)</f>
        <v>0</v>
      </c>
      <c r="L11" s="467">
        <f>100-INDEX(Language!$D$5:$D$100,MATCH($C11,Language!$E$5:$E$100,0),1)</f>
        <v>39</v>
      </c>
    </row>
    <row r="12" spans="1:19">
      <c r="A12" s="382"/>
      <c r="B12" s="467" t="s">
        <v>1117</v>
      </c>
      <c r="C12" s="27" t="str">
        <f>CalcI!$D$24</f>
        <v>Noorwegen</v>
      </c>
      <c r="D12" s="467">
        <f>CalcI!$E$24</f>
        <v>3</v>
      </c>
      <c r="E12" s="467">
        <f t="shared" si="1"/>
        <v>0</v>
      </c>
      <c r="F12" s="467">
        <f>CalcI!$F$24</f>
        <v>0</v>
      </c>
      <c r="G12" s="467">
        <f>CalcI!$G$24</f>
        <v>0</v>
      </c>
      <c r="H12" s="525">
        <f t="shared" si="0"/>
        <v>3500000.0000689998</v>
      </c>
      <c r="I12" s="467" t="s">
        <v>32</v>
      </c>
      <c r="J12" s="467"/>
      <c r="K12" s="467">
        <f>SUMIFS(FairPlay!$C$6:$C$27,FairPlay!$B$6:$B$27,$C12)+SUMIFS(FairPlay!$F$6:$F$27,FairPlay!$E$6:$E$27,$C12)+SUMIFS(FairPlay!$I$6:$I$27,FairPlay!$H$6:$H$27,$C12)</f>
        <v>0</v>
      </c>
      <c r="L12" s="467">
        <f>100-INDEX(Language!$D$5:$D$100,MATCH($C12,Language!$E$5:$E$100,0),1)</f>
        <v>69</v>
      </c>
    </row>
    <row r="13" spans="1:19">
      <c r="A13" s="382"/>
      <c r="B13" s="467" t="s">
        <v>1118</v>
      </c>
      <c r="C13" s="27" t="str">
        <f>CalcJ!$D$24</f>
        <v>Algerije</v>
      </c>
      <c r="D13" s="467">
        <f>CalcJ!$E$24</f>
        <v>3</v>
      </c>
      <c r="E13" s="467">
        <f t="shared" si="1"/>
        <v>0</v>
      </c>
      <c r="F13" s="467">
        <f>CalcJ!$F$24</f>
        <v>0</v>
      </c>
      <c r="G13" s="467">
        <f>CalcJ!$G$24</f>
        <v>0</v>
      </c>
      <c r="H13" s="525">
        <f t="shared" si="0"/>
        <v>3500000.0000720001</v>
      </c>
      <c r="I13" s="467" t="s">
        <v>841</v>
      </c>
      <c r="J13" s="467"/>
      <c r="K13" s="467">
        <f>SUMIFS(FairPlay!$C$6:$C$27,FairPlay!$B$6:$B$27,$C13)+SUMIFS(FairPlay!$F$6:$F$27,FairPlay!$E$6:$E$27,$C13)+SUMIFS(FairPlay!$I$6:$I$27,FairPlay!$H$6:$H$27,$C13)</f>
        <v>0</v>
      </c>
      <c r="L13" s="467">
        <f>100-INDEX(Language!$D$5:$D$100,MATCH($C13,Language!$E$5:$E$100,0),1)</f>
        <v>72</v>
      </c>
    </row>
    <row r="14" spans="1:19">
      <c r="A14" s="382"/>
      <c r="B14" s="467" t="s">
        <v>1119</v>
      </c>
      <c r="C14" s="27" t="str">
        <f>CalcK!$D$24</f>
        <v>Congo</v>
      </c>
      <c r="D14" s="467">
        <f>CalcK!$E$24</f>
        <v>3</v>
      </c>
      <c r="E14" s="467">
        <f t="shared" si="1"/>
        <v>0</v>
      </c>
      <c r="F14" s="467">
        <f>CalcK!$F$24</f>
        <v>0</v>
      </c>
      <c r="G14" s="467">
        <f>CalcK!$G$24</f>
        <v>0</v>
      </c>
      <c r="H14" s="525">
        <f t="shared" si="0"/>
        <v>3500000.0000539999</v>
      </c>
      <c r="I14" s="467" t="s">
        <v>33</v>
      </c>
      <c r="J14" s="467"/>
      <c r="K14" s="467">
        <f>SUMIFS(FairPlay!$C$6:$C$27,FairPlay!$B$6:$B$27,$C14)+SUMIFS(FairPlay!$F$6:$F$27,FairPlay!$E$6:$E$27,$C14)+SUMIFS(FairPlay!$I$6:$I$27,FairPlay!$H$6:$H$27,$C14)</f>
        <v>0</v>
      </c>
      <c r="L14" s="467">
        <f>100-INDEX(Language!$D$5:$D$100,MATCH($C14,Language!$E$5:$E$100,0),1)</f>
        <v>54</v>
      </c>
    </row>
    <row r="15" spans="1:19">
      <c r="A15" s="382"/>
      <c r="B15" s="35" t="s">
        <v>1120</v>
      </c>
      <c r="C15" s="34" t="str">
        <f>CalcL!$D$24</f>
        <v>Panama</v>
      </c>
      <c r="D15" s="35">
        <f>CalcL!$E$24</f>
        <v>3</v>
      </c>
      <c r="E15" s="35">
        <f t="shared" si="1"/>
        <v>0</v>
      </c>
      <c r="F15" s="35">
        <f>CalcL!$F$24</f>
        <v>0</v>
      </c>
      <c r="G15" s="35">
        <f>CalcL!$G$24</f>
        <v>0</v>
      </c>
      <c r="H15" s="526">
        <f t="shared" si="0"/>
        <v>3500000.0000669998</v>
      </c>
      <c r="I15" s="35" t="s">
        <v>34</v>
      </c>
      <c r="J15" s="35"/>
      <c r="K15" s="35">
        <f>SUMIFS(FairPlay!$C$6:$C$27,FairPlay!$B$6:$B$27,$C15)+SUMIFS(FairPlay!$F$6:$F$27,FairPlay!$E$6:$E$27,$C15)+SUMIFS(FairPlay!$I$6:$I$27,FairPlay!$H$6:$H$27,$C15)</f>
        <v>0</v>
      </c>
      <c r="L15" s="35">
        <f>100-INDEX(Language!$D$5:$D$100,MATCH($C15,Language!$E$5:$E$100,0),1)</f>
        <v>67</v>
      </c>
    </row>
    <row r="16" spans="1:19" ht="15.75" thickBot="1">
      <c r="D16" s="58" t="s">
        <v>1107</v>
      </c>
      <c r="E16" s="58" t="s">
        <v>190</v>
      </c>
      <c r="F16" s="468" t="s">
        <v>1108</v>
      </c>
      <c r="G16" s="468" t="s">
        <v>1109</v>
      </c>
      <c r="H16" s="468" t="s">
        <v>191</v>
      </c>
      <c r="I16" s="58" t="s">
        <v>198</v>
      </c>
      <c r="J16" s="382"/>
    </row>
    <row r="17" spans="2:16" ht="15.75" thickTop="1">
      <c r="B17" s="471" t="s">
        <v>26</v>
      </c>
      <c r="C17" s="472" t="str">
        <f t="shared" ref="C17:G22" si="2">INDEX(C$4:C$15,MATCH($H17,$H$4:$H$15,0))</f>
        <v>Australië</v>
      </c>
      <c r="D17" s="473">
        <f t="shared" si="2"/>
        <v>3</v>
      </c>
      <c r="E17" s="474">
        <f t="shared" si="2"/>
        <v>0</v>
      </c>
      <c r="F17" s="475">
        <f t="shared" si="2"/>
        <v>0</v>
      </c>
      <c r="G17" s="476">
        <f t="shared" si="2"/>
        <v>0</v>
      </c>
      <c r="H17" s="477">
        <f t="shared" ref="H17:H22" si="3">LARGE($H$4:$H$15,ROW(A1))</f>
        <v>3500000.0000729999</v>
      </c>
      <c r="I17" s="478" t="str">
        <f t="shared" ref="I17:I22" si="4">INDEX(I$4:I$15,MATCH($H17,$H$4:$H$15,0))</f>
        <v>D</v>
      </c>
      <c r="J17" s="519"/>
      <c r="K17" s="479">
        <f t="array" ref="K17">SUM(IF($I$17:$I$24 &lt; $I17,1))</f>
        <v>2</v>
      </c>
      <c r="L17" s="474" t="str">
        <f>INDEX($I$17:$I$24,MATCH(ROW(A1)-1,$K$17:$K$24,0))</f>
        <v>A</v>
      </c>
      <c r="M17" s="473">
        <f>D17</f>
        <v>3</v>
      </c>
      <c r="N17" s="480">
        <f>F17</f>
        <v>0</v>
      </c>
      <c r="O17" s="481" t="s">
        <v>1113</v>
      </c>
      <c r="P17" s="482">
        <f>G17</f>
        <v>0</v>
      </c>
    </row>
    <row r="18" spans="2:16">
      <c r="B18" s="483" t="s">
        <v>27</v>
      </c>
      <c r="C18" s="484" t="str">
        <f t="shared" si="2"/>
        <v>Algerije</v>
      </c>
      <c r="D18" s="485">
        <f t="shared" si="2"/>
        <v>3</v>
      </c>
      <c r="E18" s="486">
        <f t="shared" si="2"/>
        <v>0</v>
      </c>
      <c r="F18" s="487">
        <f t="shared" si="2"/>
        <v>0</v>
      </c>
      <c r="G18" s="488">
        <f t="shared" si="2"/>
        <v>0</v>
      </c>
      <c r="H18" s="489">
        <f t="shared" si="3"/>
        <v>3500000.0000720001</v>
      </c>
      <c r="I18" s="490" t="str">
        <f t="shared" si="4"/>
        <v>J</v>
      </c>
      <c r="J18" s="520"/>
      <c r="K18" s="491">
        <f t="array" ref="K18">SUM(IF($I$17:$I$24 &lt; $I18,1))</f>
        <v>6</v>
      </c>
      <c r="L18" s="486" t="str">
        <f>INDEX($I$17:$I$24,MATCH(ROW(A2)-1,$K$17:$K$24,0))</f>
        <v>C</v>
      </c>
      <c r="M18" s="485">
        <f t="shared" ref="M18:M22" si="5">D18</f>
        <v>3</v>
      </c>
      <c r="N18" s="492">
        <f t="shared" ref="N18:N22" si="6">F18</f>
        <v>0</v>
      </c>
      <c r="O18" s="493" t="s">
        <v>1113</v>
      </c>
      <c r="P18" s="494">
        <f t="shared" ref="P18:P22" si="7">G18</f>
        <v>0</v>
      </c>
    </row>
    <row r="19" spans="2:16">
      <c r="B19" s="483" t="s">
        <v>28</v>
      </c>
      <c r="C19" s="484" t="str">
        <f t="shared" si="2"/>
        <v>Noorwegen</v>
      </c>
      <c r="D19" s="485">
        <f t="shared" si="2"/>
        <v>3</v>
      </c>
      <c r="E19" s="486">
        <f t="shared" si="2"/>
        <v>0</v>
      </c>
      <c r="F19" s="487">
        <f t="shared" si="2"/>
        <v>0</v>
      </c>
      <c r="G19" s="488">
        <f t="shared" si="2"/>
        <v>0</v>
      </c>
      <c r="H19" s="489">
        <f t="shared" si="3"/>
        <v>3500000.0000689998</v>
      </c>
      <c r="I19" s="490" t="str">
        <f t="shared" si="4"/>
        <v>I</v>
      </c>
      <c r="J19" s="520"/>
      <c r="K19" s="491">
        <f t="array" ref="K19">SUM(IF($I$17:$I$24 &lt; $I19,1))</f>
        <v>5</v>
      </c>
      <c r="L19" s="486" t="str">
        <f t="shared" ref="L19:L24" si="8">INDEX($I$17:$I$24,MATCH(ROW(A3)-1,$K$17:$K$24,0))</f>
        <v>D</v>
      </c>
      <c r="M19" s="485">
        <f t="shared" si="5"/>
        <v>3</v>
      </c>
      <c r="N19" s="492">
        <f t="shared" si="6"/>
        <v>0</v>
      </c>
      <c r="O19" s="493" t="s">
        <v>1113</v>
      </c>
      <c r="P19" s="494">
        <f t="shared" si="7"/>
        <v>0</v>
      </c>
    </row>
    <row r="20" spans="2:16">
      <c r="B20" s="483" t="s">
        <v>29</v>
      </c>
      <c r="C20" s="484" t="str">
        <f t="shared" si="2"/>
        <v>Panama</v>
      </c>
      <c r="D20" s="485">
        <f t="shared" si="2"/>
        <v>3</v>
      </c>
      <c r="E20" s="486">
        <f t="shared" si="2"/>
        <v>0</v>
      </c>
      <c r="F20" s="487">
        <f t="shared" si="2"/>
        <v>0</v>
      </c>
      <c r="G20" s="488">
        <f t="shared" si="2"/>
        <v>0</v>
      </c>
      <c r="H20" s="489">
        <f t="shared" si="3"/>
        <v>3500000.0000669998</v>
      </c>
      <c r="I20" s="490" t="str">
        <f t="shared" si="4"/>
        <v>L</v>
      </c>
      <c r="J20" s="520"/>
      <c r="K20" s="491">
        <f t="array" ref="K20">SUM(IF($I$17:$I$24 &lt; $I20,1))</f>
        <v>7</v>
      </c>
      <c r="L20" s="486" t="str">
        <f t="shared" si="8"/>
        <v>E</v>
      </c>
      <c r="M20" s="485">
        <f t="shared" si="5"/>
        <v>3</v>
      </c>
      <c r="N20" s="492">
        <f t="shared" si="6"/>
        <v>0</v>
      </c>
      <c r="O20" s="493" t="s">
        <v>1113</v>
      </c>
      <c r="P20" s="494">
        <f t="shared" si="7"/>
        <v>0</v>
      </c>
    </row>
    <row r="21" spans="2:16">
      <c r="B21" s="483" t="s">
        <v>1111</v>
      </c>
      <c r="C21" s="484" t="str">
        <f t="shared" si="2"/>
        <v>Ivoorkust</v>
      </c>
      <c r="D21" s="485">
        <f t="shared" si="2"/>
        <v>3</v>
      </c>
      <c r="E21" s="486">
        <f t="shared" si="2"/>
        <v>0</v>
      </c>
      <c r="F21" s="487">
        <f t="shared" si="2"/>
        <v>0</v>
      </c>
      <c r="G21" s="488">
        <f t="shared" si="2"/>
        <v>0</v>
      </c>
      <c r="H21" s="489">
        <f t="shared" si="3"/>
        <v>3500000.000066</v>
      </c>
      <c r="I21" s="490" t="str">
        <f t="shared" si="4"/>
        <v>E</v>
      </c>
      <c r="J21" s="520"/>
      <c r="K21" s="491">
        <f t="array" ref="K21">SUM(IF($I$17:$I$24 &lt; $I21,1))</f>
        <v>3</v>
      </c>
      <c r="L21" s="486" t="str">
        <f t="shared" si="8"/>
        <v>F</v>
      </c>
      <c r="M21" s="485">
        <f t="shared" si="5"/>
        <v>3</v>
      </c>
      <c r="N21" s="492">
        <f t="shared" si="6"/>
        <v>0</v>
      </c>
      <c r="O21" s="493" t="s">
        <v>1113</v>
      </c>
      <c r="P21" s="494">
        <f t="shared" si="7"/>
        <v>0</v>
      </c>
    </row>
    <row r="22" spans="2:16">
      <c r="B22" s="508" t="s">
        <v>1112</v>
      </c>
      <c r="C22" s="509" t="str">
        <f t="shared" si="2"/>
        <v>Zweden</v>
      </c>
      <c r="D22" s="510">
        <f t="shared" si="2"/>
        <v>3</v>
      </c>
      <c r="E22" s="511">
        <f t="shared" si="2"/>
        <v>0</v>
      </c>
      <c r="F22" s="512">
        <f t="shared" si="2"/>
        <v>0</v>
      </c>
      <c r="G22" s="513">
        <f t="shared" si="2"/>
        <v>0</v>
      </c>
      <c r="H22" s="514">
        <f t="shared" si="3"/>
        <v>3500000.000062</v>
      </c>
      <c r="I22" s="515" t="str">
        <f t="shared" si="4"/>
        <v>F</v>
      </c>
      <c r="J22" s="520"/>
      <c r="K22" s="491">
        <f t="array" ref="K22">SUM(IF($I$17:$I$24 &lt; $I22,1))</f>
        <v>4</v>
      </c>
      <c r="L22" s="486" t="str">
        <f t="shared" si="8"/>
        <v>I</v>
      </c>
      <c r="M22" s="510">
        <f t="shared" si="5"/>
        <v>3</v>
      </c>
      <c r="N22" s="516">
        <f t="shared" si="6"/>
        <v>0</v>
      </c>
      <c r="O22" s="517" t="s">
        <v>1113</v>
      </c>
      <c r="P22" s="518">
        <f t="shared" si="7"/>
        <v>0</v>
      </c>
    </row>
    <row r="23" spans="2:16">
      <c r="B23" s="508" t="s">
        <v>1115</v>
      </c>
      <c r="C23" s="509" t="str">
        <f t="shared" ref="C23:G28" si="9">INDEX(C$4:C$15,MATCH($H23,$H$4:$H$15,0))</f>
        <v>Tsjechië</v>
      </c>
      <c r="D23" s="510">
        <f t="shared" si="9"/>
        <v>3</v>
      </c>
      <c r="E23" s="511">
        <f t="shared" si="9"/>
        <v>0</v>
      </c>
      <c r="F23" s="512">
        <f t="shared" si="9"/>
        <v>0</v>
      </c>
      <c r="G23" s="513">
        <f t="shared" si="9"/>
        <v>0</v>
      </c>
      <c r="H23" s="514">
        <f t="shared" ref="H23:H28" si="10">LARGE($H$4:$H$15,ROW(A7))</f>
        <v>3500000.0000590002</v>
      </c>
      <c r="I23" s="515" t="str">
        <f t="shared" ref="I23:I28" si="11">INDEX(I$4:I$15,MATCH($H23,$H$4:$H$15,0))</f>
        <v>A</v>
      </c>
      <c r="J23" s="27"/>
      <c r="K23" s="491">
        <f t="array" ref="K23">SUM(IF($I$17:$I$24 &lt; $I23,1))</f>
        <v>0</v>
      </c>
      <c r="L23" s="486" t="str">
        <f t="shared" si="8"/>
        <v>J</v>
      </c>
      <c r="M23" s="510">
        <f t="shared" ref="M23:M28" si="12">D23</f>
        <v>3</v>
      </c>
      <c r="N23" s="516">
        <f t="shared" ref="N23:N28" si="13">F23</f>
        <v>0</v>
      </c>
      <c r="O23" s="517" t="s">
        <v>1113</v>
      </c>
      <c r="P23" s="518">
        <f t="shared" ref="P23:P28" si="14">G23</f>
        <v>0</v>
      </c>
    </row>
    <row r="24" spans="2:16">
      <c r="B24" s="508" t="s">
        <v>1116</v>
      </c>
      <c r="C24" s="509" t="str">
        <f t="shared" si="9"/>
        <v>Schotland</v>
      </c>
      <c r="D24" s="510">
        <f t="shared" si="9"/>
        <v>3</v>
      </c>
      <c r="E24" s="511">
        <f t="shared" si="9"/>
        <v>0</v>
      </c>
      <c r="F24" s="512">
        <f t="shared" si="9"/>
        <v>0</v>
      </c>
      <c r="G24" s="513">
        <f t="shared" si="9"/>
        <v>0</v>
      </c>
      <c r="H24" s="514">
        <f t="shared" si="10"/>
        <v>3500000.0000570002</v>
      </c>
      <c r="I24" s="515" t="str">
        <f t="shared" si="11"/>
        <v>C</v>
      </c>
      <c r="J24" s="27"/>
      <c r="K24" s="491">
        <f t="array" ref="K24">SUM(IF($I$17:$I$24 &lt; $I24,1))</f>
        <v>1</v>
      </c>
      <c r="L24" s="486" t="str">
        <f t="shared" si="8"/>
        <v>L</v>
      </c>
      <c r="M24" s="510">
        <f t="shared" si="12"/>
        <v>3</v>
      </c>
      <c r="N24" s="516">
        <f t="shared" si="13"/>
        <v>0</v>
      </c>
      <c r="O24" s="517" t="s">
        <v>1113</v>
      </c>
      <c r="P24" s="518">
        <f t="shared" si="14"/>
        <v>0</v>
      </c>
    </row>
    <row r="25" spans="2:16">
      <c r="B25" s="508" t="s">
        <v>1117</v>
      </c>
      <c r="C25" s="509" t="str">
        <f t="shared" si="9"/>
        <v>Congo</v>
      </c>
      <c r="D25" s="510">
        <f t="shared" si="9"/>
        <v>3</v>
      </c>
      <c r="E25" s="511">
        <f t="shared" si="9"/>
        <v>0</v>
      </c>
      <c r="F25" s="512">
        <f t="shared" si="9"/>
        <v>0</v>
      </c>
      <c r="G25" s="513">
        <f t="shared" si="9"/>
        <v>0</v>
      </c>
      <c r="H25" s="514">
        <f t="shared" si="10"/>
        <v>3500000.0000539999</v>
      </c>
      <c r="I25" s="515" t="str">
        <f t="shared" si="11"/>
        <v>K</v>
      </c>
      <c r="J25" s="27"/>
      <c r="K25" s="27"/>
      <c r="L25" s="55"/>
      <c r="M25" s="510">
        <f t="shared" si="12"/>
        <v>3</v>
      </c>
      <c r="N25" s="516">
        <f t="shared" si="13"/>
        <v>0</v>
      </c>
      <c r="O25" s="517" t="s">
        <v>1113</v>
      </c>
      <c r="P25" s="518">
        <f t="shared" si="14"/>
        <v>0</v>
      </c>
    </row>
    <row r="26" spans="2:16">
      <c r="B26" s="508" t="s">
        <v>1118</v>
      </c>
      <c r="C26" s="509" t="str">
        <f t="shared" si="9"/>
        <v>Qatar</v>
      </c>
      <c r="D26" s="510">
        <f t="shared" si="9"/>
        <v>3</v>
      </c>
      <c r="E26" s="511">
        <f t="shared" si="9"/>
        <v>0</v>
      </c>
      <c r="F26" s="512">
        <f t="shared" si="9"/>
        <v>0</v>
      </c>
      <c r="G26" s="513">
        <f t="shared" si="9"/>
        <v>0</v>
      </c>
      <c r="H26" s="514">
        <f t="shared" si="10"/>
        <v>3500000.0000450001</v>
      </c>
      <c r="I26" s="515" t="str">
        <f t="shared" si="11"/>
        <v>B</v>
      </c>
      <c r="J26" s="27"/>
      <c r="K26" s="27"/>
      <c r="L26" s="55"/>
      <c r="M26" s="510">
        <f t="shared" si="12"/>
        <v>3</v>
      </c>
      <c r="N26" s="516">
        <f t="shared" si="13"/>
        <v>0</v>
      </c>
      <c r="O26" s="517" t="s">
        <v>1113</v>
      </c>
      <c r="P26" s="518">
        <f t="shared" si="14"/>
        <v>0</v>
      </c>
    </row>
    <row r="27" spans="2:16">
      <c r="B27" s="508" t="s">
        <v>1119</v>
      </c>
      <c r="C27" s="509" t="str">
        <f t="shared" si="9"/>
        <v>Saoedi-Arabië</v>
      </c>
      <c r="D27" s="510">
        <f t="shared" si="9"/>
        <v>3</v>
      </c>
      <c r="E27" s="511">
        <f t="shared" si="9"/>
        <v>0</v>
      </c>
      <c r="F27" s="512">
        <f t="shared" si="9"/>
        <v>0</v>
      </c>
      <c r="G27" s="513">
        <f t="shared" si="9"/>
        <v>0</v>
      </c>
      <c r="H27" s="514">
        <f t="shared" si="10"/>
        <v>3500000.0000390001</v>
      </c>
      <c r="I27" s="515" t="str">
        <f t="shared" si="11"/>
        <v>H</v>
      </c>
      <c r="J27" s="27"/>
      <c r="K27" s="27"/>
      <c r="L27" s="55"/>
      <c r="M27" s="510">
        <f t="shared" si="12"/>
        <v>3</v>
      </c>
      <c r="N27" s="516">
        <f t="shared" si="13"/>
        <v>0</v>
      </c>
      <c r="O27" s="517" t="s">
        <v>1113</v>
      </c>
      <c r="P27" s="518">
        <f t="shared" si="14"/>
        <v>0</v>
      </c>
    </row>
    <row r="28" spans="2:16" ht="15.75" thickBot="1">
      <c r="B28" s="495" t="s">
        <v>1120</v>
      </c>
      <c r="C28" s="496" t="str">
        <f t="shared" si="9"/>
        <v>Iran</v>
      </c>
      <c r="D28" s="497">
        <f t="shared" si="9"/>
        <v>2</v>
      </c>
      <c r="E28" s="498">
        <f t="shared" si="9"/>
        <v>0</v>
      </c>
      <c r="F28" s="499">
        <f t="shared" si="9"/>
        <v>0</v>
      </c>
      <c r="G28" s="500">
        <f t="shared" si="9"/>
        <v>0</v>
      </c>
      <c r="H28" s="501">
        <f t="shared" si="10"/>
        <v>2500000.0000789999</v>
      </c>
      <c r="I28" s="502" t="str">
        <f t="shared" si="11"/>
        <v>G</v>
      </c>
      <c r="J28" s="466"/>
      <c r="K28" s="466"/>
      <c r="L28" s="521"/>
      <c r="M28" s="497">
        <f t="shared" si="12"/>
        <v>2</v>
      </c>
      <c r="N28" s="503">
        <f t="shared" si="13"/>
        <v>0</v>
      </c>
      <c r="O28" s="504" t="s">
        <v>1113</v>
      </c>
      <c r="P28" s="505">
        <f t="shared" si="14"/>
        <v>0</v>
      </c>
    </row>
    <row r="29" spans="2:16" ht="15.75" thickTop="1">
      <c r="L29" s="32"/>
    </row>
    <row r="30" spans="2:16">
      <c r="B30" s="467"/>
      <c r="C30" s="27"/>
      <c r="D30" s="467"/>
      <c r="E30" s="467"/>
      <c r="F30" s="467"/>
      <c r="G30" s="1429" t="s">
        <v>1083</v>
      </c>
      <c r="H30" s="1429"/>
      <c r="I30" s="486" t="str">
        <f>IF(Distinctness!$G$17&gt;0,L17&amp;L18&amp;L19&amp;L20&amp;L21&amp;L22&amp;L23&amp;L24,"")</f>
        <v>ACDEFIJL</v>
      </c>
      <c r="J30" s="467"/>
      <c r="K30" s="467"/>
      <c r="L30" s="467"/>
    </row>
    <row r="31" spans="2:16">
      <c r="B31" s="467"/>
      <c r="C31" s="27"/>
      <c r="D31" s="467"/>
      <c r="E31" s="467"/>
      <c r="F31" s="467"/>
      <c r="G31" s="467"/>
      <c r="H31" s="27"/>
      <c r="I31" s="467"/>
      <c r="J31" s="467"/>
      <c r="K31" s="467"/>
      <c r="L31" s="467"/>
    </row>
    <row r="33" spans="8:9">
      <c r="H33" s="506" t="s">
        <v>1114</v>
      </c>
      <c r="I33" s="507"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election activeCell="J18" sqref="J18"/>
    </sheetView>
  </sheetViews>
  <sheetFormatPr defaultColWidth="11.42578125" defaultRowHeight="15"/>
  <sheetData>
    <row r="1" spans="2:14" ht="23.25">
      <c r="B1" s="62" t="s">
        <v>308</v>
      </c>
      <c r="C1" s="62"/>
      <c r="D1" s="62"/>
      <c r="E1" s="62"/>
      <c r="F1" s="62"/>
    </row>
    <row r="3" spans="2:14">
      <c r="B3" s="39" t="s">
        <v>198</v>
      </c>
      <c r="C3" s="39" t="s">
        <v>197</v>
      </c>
      <c r="D3" s="39" t="s">
        <v>196</v>
      </c>
      <c r="E3" s="39" t="s">
        <v>199</v>
      </c>
      <c r="F3" s="39" t="s">
        <v>314</v>
      </c>
      <c r="G3" s="39" t="s">
        <v>35</v>
      </c>
      <c r="H3" s="39" t="s">
        <v>195</v>
      </c>
      <c r="J3" s="59"/>
      <c r="K3" s="60"/>
      <c r="L3" s="60"/>
      <c r="M3" s="60"/>
      <c r="N3" s="60"/>
    </row>
    <row r="4" spans="2:14">
      <c r="B4" s="26" t="s">
        <v>24</v>
      </c>
      <c r="C4" s="26" t="b">
        <f>CalcA!$AU$14</f>
        <v>1</v>
      </c>
      <c r="D4" s="40">
        <f>COUNTIF($C$4:$C$15,TRUE)</f>
        <v>12</v>
      </c>
      <c r="E4" s="26" t="str">
        <f>IF($C4,$B4,"")</f>
        <v>A</v>
      </c>
      <c r="F4" s="104">
        <f>LEN($E4)</f>
        <v>1</v>
      </c>
      <c r="G4" s="104">
        <f>SUM($F$4:$F4)</f>
        <v>1</v>
      </c>
      <c r="H4" t="str">
        <f>IF($E4&lt;&gt;"",$E4&amp;IF($G4=$G$15,"",IF($G4&lt;$G$15-1,", ",Language!$E$191)),"")</f>
        <v xml:space="preserve">A, </v>
      </c>
      <c r="J4" s="1430" t="str">
        <f>Language!$E$189&amp;"  "&amp;$K$13&amp;"."</f>
        <v>Groepen met Fair-Play score:  A, B, C, D, E, F, G, H, I, J, KenL.</v>
      </c>
      <c r="K4" s="1431"/>
      <c r="L4" s="1431"/>
      <c r="M4" s="1431"/>
      <c r="N4" s="1431"/>
    </row>
    <row r="5" spans="2:14">
      <c r="B5" s="26" t="s">
        <v>20</v>
      </c>
      <c r="C5" s="801" t="b">
        <f>CalcB!$AU$14</f>
        <v>1</v>
      </c>
      <c r="E5" s="801" t="str">
        <f t="shared" ref="E5:E15" si="0">IF($C5,$B5,"")</f>
        <v>B</v>
      </c>
      <c r="F5" s="104">
        <f t="shared" ref="F5:F15" si="1">LEN($E5)</f>
        <v>1</v>
      </c>
      <c r="G5" s="104">
        <f>SUM($F$4:$F5)</f>
        <v>2</v>
      </c>
      <c r="H5" t="str">
        <f>IF($E5&lt;&gt;"",$E5&amp;IF($G5=$G$15,"",IF($G5&lt;$G$15-1,", ",Language!$E$191)),"")</f>
        <v xml:space="preserve">B, </v>
      </c>
      <c r="J5" s="1432" t="str">
        <f>Language!$E$190</f>
        <v>De rangschikking is verduidelijkt in alle groepen.</v>
      </c>
      <c r="K5" s="1432"/>
      <c r="L5" s="1432"/>
      <c r="M5" s="1432"/>
      <c r="N5" s="1432"/>
    </row>
    <row r="6" spans="2:14">
      <c r="B6" s="26" t="s">
        <v>21</v>
      </c>
      <c r="C6" s="801" t="b">
        <f>CalcC!$AU$14</f>
        <v>1</v>
      </c>
      <c r="E6" s="801" t="str">
        <f t="shared" si="0"/>
        <v>C</v>
      </c>
      <c r="F6" s="104">
        <f t="shared" si="1"/>
        <v>1</v>
      </c>
      <c r="G6" s="104">
        <f>SUM($F$4:$F6)</f>
        <v>3</v>
      </c>
      <c r="H6" t="str">
        <f>IF($E6&lt;&gt;"",$E6&amp;IF($G6=$G$15,"",IF($G6&lt;$G$15-1,", ",Language!$E$191)),"")</f>
        <v xml:space="preserve">C, </v>
      </c>
    </row>
    <row r="7" spans="2:14">
      <c r="B7" s="26" t="s">
        <v>25</v>
      </c>
      <c r="C7" s="801" t="b">
        <f>CalcD!$AU$14</f>
        <v>1</v>
      </c>
      <c r="E7" s="801" t="str">
        <f t="shared" si="0"/>
        <v>D</v>
      </c>
      <c r="F7" s="104">
        <f t="shared" si="1"/>
        <v>1</v>
      </c>
      <c r="G7" s="104">
        <f>SUM($F$4:$F7)</f>
        <v>4</v>
      </c>
      <c r="H7" t="str">
        <f>IF($E7&lt;&gt;"",$E7&amp;IF($G7=$G$15,"",IF($G7&lt;$G$15-1,", ",Language!$E$191)),"")</f>
        <v xml:space="preserve">D, </v>
      </c>
      <c r="J7" s="59"/>
      <c r="K7" s="59"/>
      <c r="L7" s="59"/>
      <c r="M7" s="59"/>
      <c r="N7" s="59"/>
    </row>
    <row r="8" spans="2:14">
      <c r="B8" s="26" t="s">
        <v>22</v>
      </c>
      <c r="C8" s="801" t="b">
        <f>CalcE!$AU$14</f>
        <v>1</v>
      </c>
      <c r="E8" s="801" t="str">
        <f t="shared" si="0"/>
        <v>E</v>
      </c>
      <c r="F8" s="104">
        <f t="shared" si="1"/>
        <v>1</v>
      </c>
      <c r="G8" s="104">
        <f>SUM($F$4:$F8)</f>
        <v>5</v>
      </c>
      <c r="H8" t="str">
        <f>IF($E8&lt;&gt;"",$E8&amp;IF($G8=$G$15,"",IF($G8&lt;$G$15-1,", ",Language!$E$191)),"")</f>
        <v xml:space="preserve">E, </v>
      </c>
      <c r="J8" s="59"/>
      <c r="K8" s="59"/>
      <c r="L8" s="59"/>
      <c r="M8" s="59"/>
      <c r="N8" s="59"/>
    </row>
    <row r="9" spans="2:14">
      <c r="B9" s="26" t="s">
        <v>23</v>
      </c>
      <c r="C9" s="801" t="b">
        <f>CalcF!$AU$14</f>
        <v>1</v>
      </c>
      <c r="E9" s="801" t="str">
        <f t="shared" si="0"/>
        <v>F</v>
      </c>
      <c r="F9" s="104">
        <f t="shared" si="1"/>
        <v>1</v>
      </c>
      <c r="G9" s="104">
        <f>SUM($F$4:$F9)</f>
        <v>6</v>
      </c>
      <c r="H9" t="str">
        <f>IF($E9&lt;&gt;"",$E9&amp;IF($G9=$G$15,"",IF($G9&lt;$G$15-1,", ",Language!$E$191)),"")</f>
        <v xml:space="preserve">F, </v>
      </c>
    </row>
    <row r="10" spans="2:14">
      <c r="B10" s="26" t="s">
        <v>272</v>
      </c>
      <c r="C10" s="801" t="b">
        <f>CalcG!$AU$14</f>
        <v>1</v>
      </c>
      <c r="E10" s="801" t="str">
        <f t="shared" si="0"/>
        <v>G</v>
      </c>
      <c r="F10" s="104">
        <f t="shared" si="1"/>
        <v>1</v>
      </c>
      <c r="G10" s="104">
        <f>SUM($F$4:$F10)</f>
        <v>7</v>
      </c>
      <c r="H10" t="str">
        <f>IF($E10&lt;&gt;"",$E10&amp;IF($G10=$G$15,"",IF($G10&lt;$G$15-1,", ",Language!$E$191)),"")</f>
        <v xml:space="preserve">G, </v>
      </c>
    </row>
    <row r="11" spans="2:14">
      <c r="B11" s="26" t="s">
        <v>31</v>
      </c>
      <c r="C11" s="801" t="b">
        <f>CalcH!$AU$14</f>
        <v>1</v>
      </c>
      <c r="E11" s="801" t="str">
        <f t="shared" si="0"/>
        <v>H</v>
      </c>
      <c r="F11" s="104">
        <f t="shared" si="1"/>
        <v>1</v>
      </c>
      <c r="G11" s="104">
        <f>SUM($F$4:$F11)</f>
        <v>8</v>
      </c>
      <c r="H11" t="str">
        <f>IF($E11&lt;&gt;"",$E11&amp;IF($G11=$G$15,"",IF($G11&lt;$G$15-1,", ",Language!$E$191)),"")</f>
        <v xml:space="preserve">H, </v>
      </c>
    </row>
    <row r="12" spans="2:14">
      <c r="B12" s="374" t="s">
        <v>32</v>
      </c>
      <c r="C12" s="801" t="b">
        <f>CalcI!$AU$14</f>
        <v>1</v>
      </c>
      <c r="E12" s="801" t="str">
        <f t="shared" si="0"/>
        <v>I</v>
      </c>
      <c r="F12" s="374">
        <f t="shared" si="1"/>
        <v>1</v>
      </c>
      <c r="G12" s="374">
        <f>SUM($F$4:$F12)</f>
        <v>9</v>
      </c>
      <c r="H12" t="str">
        <f>IF($E12&lt;&gt;"",$E12&amp;IF($G12=$G$15,"",IF($G12&lt;$G$15-1,", ",Language!$E$191)),"")</f>
        <v xml:space="preserve">I, </v>
      </c>
      <c r="J12" s="61"/>
      <c r="K12" s="61"/>
      <c r="L12" s="61"/>
      <c r="M12" s="61"/>
      <c r="N12" s="61"/>
    </row>
    <row r="13" spans="2:14">
      <c r="B13" s="374" t="s">
        <v>841</v>
      </c>
      <c r="C13" s="801" t="b">
        <f>CalcJ!$AU$14</f>
        <v>1</v>
      </c>
      <c r="E13" s="801" t="str">
        <f t="shared" si="0"/>
        <v>J</v>
      </c>
      <c r="F13" s="374">
        <f t="shared" si="1"/>
        <v>1</v>
      </c>
      <c r="G13" s="374">
        <f>SUM($F$4:$F13)</f>
        <v>10</v>
      </c>
      <c r="H13" t="str">
        <f>IF($E13&lt;&gt;"",$E13&amp;IF($G13=$G$15,"",IF($G13&lt;$G$15-1,", ",Language!$E$191)),"")</f>
        <v xml:space="preserve">J, </v>
      </c>
      <c r="J13" s="39" t="s">
        <v>194</v>
      </c>
      <c r="K13" s="1433" t="str">
        <f>$H$4&amp;$H$5&amp;$H$6&amp;$H$7&amp;$H$8&amp;$H$9&amp;$H$10&amp;$H$11&amp;$H$12&amp;$H$13&amp;$H$14&amp;$H$15</f>
        <v>A, B, C, D, E, F, G, H, I, J, KenL</v>
      </c>
      <c r="L13" s="1434"/>
      <c r="M13" s="1434"/>
      <c r="N13" s="1434"/>
    </row>
    <row r="14" spans="2:14">
      <c r="B14" s="374" t="s">
        <v>33</v>
      </c>
      <c r="C14" s="801" t="b">
        <f>CalcK!$AU$14</f>
        <v>1</v>
      </c>
      <c r="E14" s="801" t="str">
        <f t="shared" si="0"/>
        <v>K</v>
      </c>
      <c r="F14" s="374">
        <f t="shared" si="1"/>
        <v>1</v>
      </c>
      <c r="G14" s="374">
        <f>SUM($F$4:$F14)</f>
        <v>11</v>
      </c>
      <c r="H14" t="str">
        <f>IF($E14&lt;&gt;"",$E14&amp;IF($G14=$G$15,"",IF($G14&lt;$G$15-1,", ",Language!$E$191)),"")</f>
        <v>Ken</v>
      </c>
    </row>
    <row r="15" spans="2:14">
      <c r="B15" s="374" t="s">
        <v>34</v>
      </c>
      <c r="C15" s="801" t="b">
        <f>CalcL!$AU$14</f>
        <v>1</v>
      </c>
      <c r="E15" s="801" t="str">
        <f t="shared" si="0"/>
        <v>L</v>
      </c>
      <c r="F15" s="374">
        <f t="shared" si="1"/>
        <v>1</v>
      </c>
      <c r="G15" s="374">
        <f>SUM($F$4:$F15)</f>
        <v>12</v>
      </c>
      <c r="H15" t="str">
        <f>IF($E15&lt;&gt;"",$E15&amp;IF($G15=$G$15,"",IF($G15&lt;$G$15-1,", ",Language!$E$191)),"")</f>
        <v>L</v>
      </c>
      <c r="J15" s="65"/>
      <c r="K15" s="65"/>
    </row>
    <row r="16" spans="2:14" ht="15.75" thickBot="1">
      <c r="B16" s="374"/>
      <c r="C16" s="374"/>
      <c r="E16" s="374"/>
      <c r="F16" s="374"/>
      <c r="G16" s="374"/>
      <c r="J16" s="66"/>
      <c r="K16" s="66"/>
    </row>
    <row r="17" spans="2:7" ht="15.75" thickBot="1">
      <c r="B17" s="374"/>
      <c r="C17" s="374"/>
      <c r="E17" s="374"/>
      <c r="F17" s="41" t="s">
        <v>1630</v>
      </c>
      <c r="G17" s="532">
        <f>CalcA!$L$9+CalcB!$L$9+CalcC!$L$9+CalcD!$L$9+CalcE!$L$9+CalcF!$L$9+CalcG!$L$9+CalcH!$L$9+CalcI!$L$9+CalcJ!$L$9+CalcK!$L$9+CalcL!$L$9</f>
        <v>71</v>
      </c>
    </row>
    <row r="18" spans="2:7">
      <c r="B18" s="374"/>
      <c r="C18" s="374"/>
      <c r="E18" s="374"/>
      <c r="F18" s="374"/>
      <c r="G18" s="374"/>
    </row>
    <row r="19" spans="2:7">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595-9BBB-4CB9-837B-FF558F8E9566}">
  <dimension ref="A1:U125"/>
  <sheetViews>
    <sheetView zoomScale="85" zoomScaleNormal="85" workbookViewId="0">
      <selection activeCell="U17" sqref="U17"/>
    </sheetView>
  </sheetViews>
  <sheetFormatPr defaultRowHeight="15"/>
  <cols>
    <col min="1" max="1" width="5.7109375" customWidth="1"/>
    <col min="2" max="2" width="3.5703125" customWidth="1"/>
    <col min="3" max="3" width="7.140625" customWidth="1"/>
    <col min="4" max="4" width="18" bestFit="1" customWidth="1"/>
    <col min="5" max="5" width="16.42578125" bestFit="1" customWidth="1"/>
    <col min="6" max="6" width="2.85546875" customWidth="1"/>
    <col min="7" max="7" width="1.42578125" customWidth="1"/>
    <col min="8" max="8" width="2.85546875" customWidth="1"/>
    <col min="9" max="10" width="0.85546875" customWidth="1"/>
    <col min="11" max="11" width="6.85546875" customWidth="1"/>
    <col min="12" max="12" width="13.5703125" customWidth="1"/>
    <col min="13" max="13" width="14.28515625" customWidth="1"/>
    <col min="14" max="14" width="12.28515625" customWidth="1"/>
    <col min="15" max="15" width="3" customWidth="1"/>
    <col min="16" max="16" width="13.5703125" customWidth="1"/>
    <col min="17" max="17" width="14.28515625" customWidth="1"/>
    <col min="18" max="18" width="9" customWidth="1"/>
    <col min="19" max="19" width="19.85546875" customWidth="1"/>
  </cols>
  <sheetData>
    <row r="1" spans="1:18">
      <c r="A1" s="1174" t="s">
        <v>1897</v>
      </c>
      <c r="B1" s="1226" t="s">
        <v>1898</v>
      </c>
      <c r="C1" s="1227"/>
      <c r="D1" s="1151">
        <f>Informatieblad!E38</f>
        <v>0</v>
      </c>
      <c r="E1" s="1152">
        <f>Informatieblad!E40</f>
        <v>0</v>
      </c>
      <c r="F1" s="1153"/>
      <c r="G1" s="1153"/>
      <c r="H1" s="1153"/>
      <c r="I1" s="1154"/>
      <c r="J1" s="1154"/>
      <c r="K1" s="1155"/>
      <c r="L1" s="1156"/>
      <c r="M1" s="1156"/>
      <c r="N1" s="1156"/>
      <c r="O1" s="1156"/>
      <c r="P1" s="1156"/>
      <c r="Q1" s="1156"/>
      <c r="R1" s="1157"/>
    </row>
    <row r="2" spans="1:18">
      <c r="A2" s="1175" t="s">
        <v>1899</v>
      </c>
      <c r="B2" s="888"/>
      <c r="C2" s="889"/>
      <c r="D2" s="890" t="s">
        <v>1900</v>
      </c>
      <c r="E2" s="890"/>
      <c r="F2" s="891" t="s">
        <v>2034</v>
      </c>
      <c r="G2" s="891"/>
      <c r="H2" s="891"/>
      <c r="I2" s="1063"/>
      <c r="J2" s="1063"/>
      <c r="K2" s="1158"/>
      <c r="L2" s="899"/>
      <c r="M2" s="899"/>
      <c r="N2" s="899"/>
      <c r="O2" s="1056"/>
      <c r="P2" s="897"/>
      <c r="Q2" s="897"/>
      <c r="R2" s="1039"/>
    </row>
    <row r="3" spans="1:18" ht="18.75" customHeight="1">
      <c r="A3" s="1159"/>
      <c r="B3" s="1217" t="s">
        <v>1901</v>
      </c>
      <c r="C3" s="892">
        <v>45819</v>
      </c>
      <c r="D3" s="1042" t="str">
        <f>'World Cup'!B13</f>
        <v>Mexico</v>
      </c>
      <c r="E3" s="1043" t="str">
        <f>'World Cup'!C13</f>
        <v>Zuid-Afrika</v>
      </c>
      <c r="F3" s="966"/>
      <c r="G3" s="966" t="s">
        <v>1902</v>
      </c>
      <c r="H3" s="967"/>
      <c r="I3" s="1063"/>
      <c r="J3" s="1063"/>
      <c r="K3" s="1158"/>
      <c r="L3" s="1220" t="s">
        <v>1903</v>
      </c>
      <c r="M3" s="1221"/>
      <c r="N3" s="1222"/>
      <c r="O3" s="1054"/>
      <c r="P3" s="1228" t="str">
        <f>Language!K180</f>
        <v>Derde van de groep</v>
      </c>
      <c r="Q3" s="1229"/>
      <c r="R3" s="1040" t="str">
        <f>Language!K181</f>
        <v>Grp</v>
      </c>
    </row>
    <row r="4" spans="1:18">
      <c r="A4" s="1159"/>
      <c r="B4" s="1218"/>
      <c r="C4" s="898">
        <v>45820</v>
      </c>
      <c r="D4" s="1044" t="str">
        <f>'World Cup'!B18</f>
        <v>Zuid-Korea</v>
      </c>
      <c r="E4" s="1045" t="str">
        <f>'World Cup'!C18</f>
        <v>Tsjechië</v>
      </c>
      <c r="F4" s="981"/>
      <c r="G4" s="981" t="s">
        <v>1902</v>
      </c>
      <c r="H4" s="982"/>
      <c r="I4" s="1063"/>
      <c r="J4" s="1063"/>
      <c r="K4" s="1158"/>
      <c r="L4" s="903" t="s">
        <v>781</v>
      </c>
      <c r="M4" s="904" t="s">
        <v>1904</v>
      </c>
      <c r="N4" s="905" t="s">
        <v>1905</v>
      </c>
      <c r="O4" s="1055"/>
      <c r="P4" s="907" t="str">
        <f>'World Cup'!AL32</f>
        <v>Australië</v>
      </c>
      <c r="Q4" s="908" t="str">
        <f>'World Cup'!AM32</f>
        <v xml:space="preserve">   3        0 : 0</v>
      </c>
      <c r="R4" s="1041" t="str">
        <f>'World Cup'!AN32</f>
        <v>D</v>
      </c>
    </row>
    <row r="5" spans="1:18">
      <c r="A5" s="1159"/>
      <c r="B5" s="1218"/>
      <c r="C5" s="898">
        <v>45827</v>
      </c>
      <c r="D5" s="1044" t="str">
        <f>'World Cup'!B28</f>
        <v>Mexico</v>
      </c>
      <c r="E5" s="1045" t="str">
        <f>'World Cup'!C28</f>
        <v>Zuid-Korea</v>
      </c>
      <c r="F5" s="981"/>
      <c r="G5" s="981" t="s">
        <v>1902</v>
      </c>
      <c r="H5" s="982"/>
      <c r="I5" s="1063"/>
      <c r="J5" s="1063"/>
      <c r="K5" s="1158"/>
      <c r="L5" s="906">
        <v>1</v>
      </c>
      <c r="M5" s="893" t="str">
        <f>'World Cup'!B42</f>
        <v>Mexico</v>
      </c>
      <c r="N5" s="894" t="str">
        <f>'World Cup'!C42</f>
        <v xml:space="preserve">   3        0 : 0</v>
      </c>
      <c r="O5" s="1056"/>
      <c r="P5" s="910" t="str">
        <f>'World Cup'!AL33</f>
        <v>Algerije</v>
      </c>
      <c r="Q5" s="911" t="str">
        <f>'World Cup'!AM33</f>
        <v xml:space="preserve">   3        0 : 0</v>
      </c>
      <c r="R5" s="912" t="str">
        <f>'World Cup'!AN33</f>
        <v>J</v>
      </c>
    </row>
    <row r="6" spans="1:18">
      <c r="A6" s="1159"/>
      <c r="B6" s="1218"/>
      <c r="C6" s="898">
        <v>45826</v>
      </c>
      <c r="D6" s="1044" t="str">
        <f>'World Cup'!B23</f>
        <v>Tsjechië</v>
      </c>
      <c r="E6" s="1045" t="str">
        <f>'World Cup'!C23</f>
        <v>Zuid-Afrika</v>
      </c>
      <c r="F6" s="981"/>
      <c r="G6" s="981" t="s">
        <v>1902</v>
      </c>
      <c r="H6" s="982"/>
      <c r="I6" s="1063"/>
      <c r="J6" s="1063"/>
      <c r="K6" s="1158"/>
      <c r="L6" s="909">
        <v>2</v>
      </c>
      <c r="M6" s="899" t="str">
        <f>'World Cup'!B43</f>
        <v>Zuid-Korea</v>
      </c>
      <c r="N6" s="900" t="str">
        <f>'World Cup'!C43</f>
        <v xml:space="preserve">   3        0 : 0</v>
      </c>
      <c r="O6" s="1056"/>
      <c r="P6" s="910" t="str">
        <f>'World Cup'!AL34</f>
        <v>Noorwegen</v>
      </c>
      <c r="Q6" s="911" t="str">
        <f>'World Cup'!AM34</f>
        <v xml:space="preserve">   3        0 : 0</v>
      </c>
      <c r="R6" s="912" t="str">
        <f>'World Cup'!AN34</f>
        <v>I</v>
      </c>
    </row>
    <row r="7" spans="1:18" ht="15" customHeight="1">
      <c r="A7" s="1159"/>
      <c r="B7" s="1218"/>
      <c r="C7" s="898">
        <v>45833</v>
      </c>
      <c r="D7" s="1044" t="str">
        <f>'World Cup'!B33</f>
        <v>Tsjechië</v>
      </c>
      <c r="E7" s="1045" t="str">
        <f>'World Cup'!C33</f>
        <v>Mexico</v>
      </c>
      <c r="F7" s="981"/>
      <c r="G7" s="981" t="s">
        <v>1902</v>
      </c>
      <c r="H7" s="982"/>
      <c r="I7" s="1063"/>
      <c r="J7" s="1063"/>
      <c r="K7" s="1158"/>
      <c r="L7" s="909">
        <v>3</v>
      </c>
      <c r="M7" s="899" t="str">
        <f>'World Cup'!B44</f>
        <v>Tsjechië</v>
      </c>
      <c r="N7" s="900" t="str">
        <f>'World Cup'!C44</f>
        <v xml:space="preserve">   3        0 : 0</v>
      </c>
      <c r="O7" s="1056"/>
      <c r="P7" s="910" t="str">
        <f>'World Cup'!AL35</f>
        <v>Panama</v>
      </c>
      <c r="Q7" s="911" t="str">
        <f>'World Cup'!AM35</f>
        <v xml:space="preserve">   3        0 : 0</v>
      </c>
      <c r="R7" s="912" t="str">
        <f>'World Cup'!AN35</f>
        <v>L</v>
      </c>
    </row>
    <row r="8" spans="1:18">
      <c r="A8" s="1159"/>
      <c r="B8" s="1219"/>
      <c r="C8" s="913">
        <v>45833</v>
      </c>
      <c r="D8" s="1046" t="str">
        <f>'World Cup'!B38</f>
        <v>Zuid-Afrika</v>
      </c>
      <c r="E8" s="1047" t="str">
        <f>'World Cup'!C38</f>
        <v>Zuid-Korea</v>
      </c>
      <c r="F8" s="1048"/>
      <c r="G8" s="1048" t="s">
        <v>1902</v>
      </c>
      <c r="H8" s="1049"/>
      <c r="I8" s="1063"/>
      <c r="J8" s="1063"/>
      <c r="K8" s="1158"/>
      <c r="L8" s="918">
        <v>4</v>
      </c>
      <c r="M8" s="914" t="str">
        <f>'World Cup'!B45</f>
        <v>Zuid-Afrika</v>
      </c>
      <c r="N8" s="915" t="str">
        <f>'World Cup'!C45</f>
        <v xml:space="preserve">   3        0 : 0</v>
      </c>
      <c r="O8" s="1056"/>
      <c r="P8" s="920" t="str">
        <f>'World Cup'!AL36</f>
        <v>Ivoorkust</v>
      </c>
      <c r="Q8" s="911" t="str">
        <f>'World Cup'!AM36</f>
        <v xml:space="preserve">   3        0 : 0</v>
      </c>
      <c r="R8" s="912" t="str">
        <f>'World Cup'!AN36</f>
        <v>E</v>
      </c>
    </row>
    <row r="9" spans="1:18">
      <c r="A9" s="1159"/>
      <c r="B9" s="1217" t="s">
        <v>1906</v>
      </c>
      <c r="C9" s="919">
        <v>45820</v>
      </c>
      <c r="D9" s="1042" t="str">
        <f>'World Cup'!E13</f>
        <v>Canada</v>
      </c>
      <c r="E9" s="1043" t="str">
        <f>'World Cup'!F13</f>
        <v>Bosnië/Herz.</v>
      </c>
      <c r="F9" s="966"/>
      <c r="G9" s="966" t="s">
        <v>1902</v>
      </c>
      <c r="H9" s="967"/>
      <c r="I9" s="1063"/>
      <c r="J9" s="1063"/>
      <c r="K9" s="1158"/>
      <c r="L9" s="1220" t="s">
        <v>1907</v>
      </c>
      <c r="M9" s="1221"/>
      <c r="N9" s="1222"/>
      <c r="O9" s="1054"/>
      <c r="P9" s="920" t="str">
        <f>'World Cup'!AL37</f>
        <v>Zweden</v>
      </c>
      <c r="Q9" s="911" t="str">
        <f>'World Cup'!AM37</f>
        <v xml:space="preserve">   3        0 : 0</v>
      </c>
      <c r="R9" s="912" t="str">
        <f>'World Cup'!AN37</f>
        <v>F</v>
      </c>
    </row>
    <row r="10" spans="1:18">
      <c r="A10" s="1159"/>
      <c r="B10" s="1218"/>
      <c r="C10" s="921">
        <v>45821</v>
      </c>
      <c r="D10" s="1044" t="str">
        <f>'World Cup'!E18</f>
        <v>Qatar</v>
      </c>
      <c r="E10" s="1045" t="str">
        <f>'World Cup'!F18</f>
        <v>Zwitserland</v>
      </c>
      <c r="F10" s="981"/>
      <c r="G10" s="981" t="s">
        <v>1902</v>
      </c>
      <c r="H10" s="982"/>
      <c r="I10" s="1063"/>
      <c r="J10" s="1063"/>
      <c r="K10" s="1158"/>
      <c r="L10" s="903" t="s">
        <v>781</v>
      </c>
      <c r="M10" s="904" t="s">
        <v>1904</v>
      </c>
      <c r="N10" s="905" t="s">
        <v>1905</v>
      </c>
      <c r="O10" s="1055"/>
      <c r="P10" s="910" t="str">
        <f>'World Cup'!AL38</f>
        <v>Tsjechië</v>
      </c>
      <c r="Q10" s="911" t="str">
        <f>'World Cup'!AM38</f>
        <v xml:space="preserve">   3        0 : 0</v>
      </c>
      <c r="R10" s="912" t="str">
        <f>'World Cup'!AN38</f>
        <v>A</v>
      </c>
    </row>
    <row r="11" spans="1:18" ht="15" customHeight="1">
      <c r="A11" s="1159"/>
      <c r="B11" s="1218"/>
      <c r="C11" s="921">
        <v>45827</v>
      </c>
      <c r="D11" s="1044" t="str">
        <f>'World Cup'!E28</f>
        <v>Canada</v>
      </c>
      <c r="E11" s="1045" t="str">
        <f>'World Cup'!F28</f>
        <v>Qatar</v>
      </c>
      <c r="F11" s="981"/>
      <c r="G11" s="981" t="s">
        <v>1902</v>
      </c>
      <c r="H11" s="982"/>
      <c r="I11" s="1063"/>
      <c r="J11" s="1063"/>
      <c r="K11" s="1158"/>
      <c r="L11" s="906">
        <v>1</v>
      </c>
      <c r="M11" s="893" t="str">
        <f>'World Cup'!E42</f>
        <v>Zwitserland</v>
      </c>
      <c r="N11" s="894" t="str">
        <f>'World Cup'!F42</f>
        <v xml:space="preserve">   3        0 : 0</v>
      </c>
      <c r="O11" s="1056"/>
      <c r="P11" s="922" t="str">
        <f>'World Cup'!AL39</f>
        <v>Schotland</v>
      </c>
      <c r="Q11" s="923" t="str">
        <f>'World Cup'!AM39</f>
        <v xml:space="preserve">   3        0 : 0</v>
      </c>
      <c r="R11" s="924" t="str">
        <f>'World Cup'!AN39</f>
        <v>C</v>
      </c>
    </row>
    <row r="12" spans="1:18">
      <c r="A12" s="1159"/>
      <c r="B12" s="1218"/>
      <c r="C12" s="921">
        <v>45826</v>
      </c>
      <c r="D12" s="1044" t="str">
        <f>'World Cup'!E23</f>
        <v>Zwitserland</v>
      </c>
      <c r="E12" s="1045" t="str">
        <f>'World Cup'!F23</f>
        <v>Bosnië/Herz.</v>
      </c>
      <c r="F12" s="981"/>
      <c r="G12" s="981" t="s">
        <v>1902</v>
      </c>
      <c r="H12" s="982"/>
      <c r="I12" s="1063"/>
      <c r="J12" s="1063"/>
      <c r="K12" s="1158"/>
      <c r="L12" s="909">
        <v>2</v>
      </c>
      <c r="M12" s="899" t="str">
        <f>'World Cup'!E43</f>
        <v>Canada</v>
      </c>
      <c r="N12" s="900" t="str">
        <f>'World Cup'!F43</f>
        <v xml:space="preserve">   3        0 : 0</v>
      </c>
      <c r="O12" s="1056"/>
      <c r="P12" s="925" t="str">
        <f>'World Cup'!AL40</f>
        <v>Congo</v>
      </c>
      <c r="Q12" s="926" t="str">
        <f>'World Cup'!AM40</f>
        <v xml:space="preserve">   3        0 : 0</v>
      </c>
      <c r="R12" s="927" t="str">
        <f>'World Cup'!AN40</f>
        <v>K</v>
      </c>
    </row>
    <row r="13" spans="1:18">
      <c r="A13" s="1159"/>
      <c r="B13" s="1218"/>
      <c r="C13" s="921">
        <v>45832</v>
      </c>
      <c r="D13" s="1044" t="str">
        <f>'World Cup'!E33</f>
        <v>Zwitserland</v>
      </c>
      <c r="E13" s="1045" t="str">
        <f>'World Cup'!F33</f>
        <v>Canada</v>
      </c>
      <c r="F13" s="981"/>
      <c r="G13" s="981" t="s">
        <v>1902</v>
      </c>
      <c r="H13" s="982"/>
      <c r="I13" s="1063"/>
      <c r="J13" s="1063"/>
      <c r="K13" s="1158"/>
      <c r="L13" s="909">
        <v>3</v>
      </c>
      <c r="M13" s="899" t="str">
        <f>'World Cup'!E44</f>
        <v>Qatar</v>
      </c>
      <c r="N13" s="900" t="str">
        <f>'World Cup'!F44</f>
        <v xml:space="preserve">   3        0 : 0</v>
      </c>
      <c r="O13" s="1056"/>
      <c r="P13" s="929" t="str">
        <f>'World Cup'!AL41</f>
        <v>Qatar</v>
      </c>
      <c r="Q13" s="930" t="str">
        <f>'World Cup'!AM41</f>
        <v xml:space="preserve">   3        0 : 0</v>
      </c>
      <c r="R13" s="931" t="str">
        <f>'World Cup'!AN41</f>
        <v>B</v>
      </c>
    </row>
    <row r="14" spans="1:18">
      <c r="A14" s="1159"/>
      <c r="B14" s="1219"/>
      <c r="C14" s="928">
        <v>45832</v>
      </c>
      <c r="D14" s="1046" t="str">
        <f>'World Cup'!E38</f>
        <v>Bosnië/Herz.</v>
      </c>
      <c r="E14" s="1047" t="str">
        <f>'World Cup'!F38</f>
        <v>Qatar</v>
      </c>
      <c r="F14" s="1048"/>
      <c r="G14" s="1048" t="s">
        <v>1902</v>
      </c>
      <c r="H14" s="1049"/>
      <c r="I14" s="1063"/>
      <c r="J14" s="1063"/>
      <c r="K14" s="1158"/>
      <c r="L14" s="918">
        <v>4</v>
      </c>
      <c r="M14" s="914" t="str">
        <f>'World Cup'!E45</f>
        <v>Bosnië/Herz.</v>
      </c>
      <c r="N14" s="915" t="str">
        <f>'World Cup'!F45</f>
        <v xml:space="preserve">   3        0 : 0</v>
      </c>
      <c r="O14" s="1056"/>
      <c r="P14" s="934" t="str">
        <f>'World Cup'!AL42</f>
        <v>Saoedi-Arabië</v>
      </c>
      <c r="Q14" s="930" t="str">
        <f>'World Cup'!AM42</f>
        <v xml:space="preserve">   3        0 : 0</v>
      </c>
      <c r="R14" s="931" t="str">
        <f>'World Cup'!AN42</f>
        <v>H</v>
      </c>
    </row>
    <row r="15" spans="1:18" ht="15" customHeight="1">
      <c r="A15" s="1159"/>
      <c r="B15" s="1217" t="s">
        <v>1908</v>
      </c>
      <c r="C15" s="932">
        <v>45822</v>
      </c>
      <c r="D15" s="1050" t="str">
        <f>'World Cup'!H13</f>
        <v>Brazilië</v>
      </c>
      <c r="E15" s="1043" t="str">
        <f>'World Cup'!I13</f>
        <v>Marokko</v>
      </c>
      <c r="F15" s="966"/>
      <c r="G15" s="966" t="s">
        <v>1902</v>
      </c>
      <c r="H15" s="967"/>
      <c r="I15" s="1063"/>
      <c r="J15" s="1063"/>
      <c r="K15" s="1158"/>
      <c r="L15" s="1220" t="s">
        <v>1909</v>
      </c>
      <c r="M15" s="1221"/>
      <c r="N15" s="1222"/>
      <c r="O15" s="1054"/>
      <c r="P15" s="937" t="str">
        <f>'World Cup'!AL43</f>
        <v>Iran</v>
      </c>
      <c r="Q15" s="938" t="str">
        <f>'World Cup'!AM43</f>
        <v xml:space="preserve">   2        0 : 0</v>
      </c>
      <c r="R15" s="939" t="str">
        <f>'World Cup'!AN43</f>
        <v>G</v>
      </c>
    </row>
    <row r="16" spans="1:18">
      <c r="A16" s="1159"/>
      <c r="B16" s="1218"/>
      <c r="C16" s="935">
        <v>45822</v>
      </c>
      <c r="D16" s="984" t="str">
        <f>'World Cup'!H18</f>
        <v>Haïti</v>
      </c>
      <c r="E16" s="1045" t="str">
        <f>'World Cup'!I18</f>
        <v>Schotland</v>
      </c>
      <c r="F16" s="981"/>
      <c r="G16" s="981" t="s">
        <v>1902</v>
      </c>
      <c r="H16" s="982"/>
      <c r="I16" s="1063"/>
      <c r="J16" s="1063"/>
      <c r="K16" s="1158"/>
      <c r="L16" s="903" t="s">
        <v>781</v>
      </c>
      <c r="M16" s="904" t="s">
        <v>1904</v>
      </c>
      <c r="N16" s="905" t="s">
        <v>1905</v>
      </c>
      <c r="O16" s="1055"/>
      <c r="P16" s="1223" t="s">
        <v>1623</v>
      </c>
      <c r="Q16" s="1224"/>
      <c r="R16" s="1225"/>
    </row>
    <row r="17" spans="1:21">
      <c r="A17" s="1159"/>
      <c r="B17" s="1218"/>
      <c r="C17" s="935">
        <v>45828</v>
      </c>
      <c r="D17" s="984" t="str">
        <f>'World Cup'!H28</f>
        <v>Brazilië</v>
      </c>
      <c r="E17" s="1045" t="str">
        <f>'World Cup'!I28</f>
        <v>Haïti</v>
      </c>
      <c r="F17" s="981"/>
      <c r="G17" s="981" t="s">
        <v>1902</v>
      </c>
      <c r="H17" s="982"/>
      <c r="I17" s="1063"/>
      <c r="J17" s="1063"/>
      <c r="K17" s="1158"/>
      <c r="L17" s="906">
        <v>1</v>
      </c>
      <c r="M17" s="893" t="str">
        <f>'World Cup'!H42</f>
        <v>Brazilië</v>
      </c>
      <c r="N17" s="894" t="str">
        <f>'World Cup'!I42</f>
        <v xml:space="preserve">   3        0 : 0</v>
      </c>
      <c r="O17" s="1056"/>
      <c r="P17" s="1230" t="str">
        <f>IF(Distinctness!$G$17&gt;0,ThirdPlaced!$I30,"")</f>
        <v>ACDEFIJL</v>
      </c>
      <c r="Q17" s="1231"/>
      <c r="R17" s="1232"/>
    </row>
    <row r="18" spans="1:21" ht="15" customHeight="1">
      <c r="A18" s="1159"/>
      <c r="B18" s="1218"/>
      <c r="C18" s="935">
        <v>45828</v>
      </c>
      <c r="D18" s="984" t="str">
        <f>'World Cup'!H23</f>
        <v>Schotland</v>
      </c>
      <c r="E18" s="1045" t="str">
        <f>'World Cup'!I23</f>
        <v>Marokko</v>
      </c>
      <c r="F18" s="981"/>
      <c r="G18" s="981" t="s">
        <v>1902</v>
      </c>
      <c r="H18" s="982"/>
      <c r="I18" s="1063"/>
      <c r="J18" s="1063"/>
      <c r="K18" s="1158"/>
      <c r="L18" s="909">
        <v>2</v>
      </c>
      <c r="M18" s="899" t="str">
        <f>'World Cup'!H43</f>
        <v>Marokko</v>
      </c>
      <c r="N18" s="900" t="str">
        <f>'World Cup'!I43</f>
        <v xml:space="preserve">   3        0 : 0</v>
      </c>
      <c r="O18" s="1056"/>
      <c r="P18" s="1233"/>
      <c r="Q18" s="1234"/>
      <c r="R18" s="1235"/>
    </row>
    <row r="19" spans="1:21" ht="15" customHeight="1">
      <c r="A19" s="1159"/>
      <c r="B19" s="1218"/>
      <c r="C19" s="935">
        <v>45833</v>
      </c>
      <c r="D19" s="984" t="str">
        <f>'World Cup'!H33</f>
        <v>Schotland</v>
      </c>
      <c r="E19" s="1045" t="str">
        <f>'World Cup'!I33</f>
        <v>Brazilië</v>
      </c>
      <c r="F19" s="981"/>
      <c r="G19" s="981" t="s">
        <v>1902</v>
      </c>
      <c r="H19" s="982"/>
      <c r="I19" s="1063"/>
      <c r="J19" s="1063"/>
      <c r="K19" s="1158"/>
      <c r="L19" s="909">
        <v>3</v>
      </c>
      <c r="M19" s="899" t="str">
        <f>'World Cup'!H44</f>
        <v>Schotland</v>
      </c>
      <c r="N19" s="900" t="str">
        <f>'World Cup'!I44</f>
        <v xml:space="preserve">   3        0 : 0</v>
      </c>
      <c r="O19" s="1056"/>
      <c r="P19" s="1236" t="s">
        <v>1910</v>
      </c>
      <c r="Q19" s="1237"/>
      <c r="R19" s="1238"/>
    </row>
    <row r="20" spans="1:21">
      <c r="A20" s="1159"/>
      <c r="B20" s="1219"/>
      <c r="C20" s="940">
        <v>45833</v>
      </c>
      <c r="D20" s="1051" t="str">
        <f>'World Cup'!H38</f>
        <v>Marokko</v>
      </c>
      <c r="E20" s="1047" t="str">
        <f>'World Cup'!I38</f>
        <v>Haïti</v>
      </c>
      <c r="F20" s="1048"/>
      <c r="G20" s="1048" t="s">
        <v>1902</v>
      </c>
      <c r="H20" s="1049"/>
      <c r="I20" s="1063"/>
      <c r="J20" s="1063"/>
      <c r="K20" s="1158"/>
      <c r="L20" s="918">
        <v>4</v>
      </c>
      <c r="M20" s="914" t="str">
        <f>'World Cup'!H45</f>
        <v>Haïti</v>
      </c>
      <c r="N20" s="915" t="str">
        <f>'World Cup'!I45</f>
        <v xml:space="preserve">   3        0 : 0</v>
      </c>
      <c r="O20" s="1056"/>
      <c r="P20" s="1148" t="s">
        <v>26</v>
      </c>
      <c r="Q20" s="1239" t="s">
        <v>1913</v>
      </c>
      <c r="R20" s="1240"/>
    </row>
    <row r="21" spans="1:21">
      <c r="A21" s="1159"/>
      <c r="B21" s="1217" t="s">
        <v>1911</v>
      </c>
      <c r="C21" s="932">
        <v>45821</v>
      </c>
      <c r="D21" s="1050" t="str">
        <f>'World Cup'!K13</f>
        <v>USA</v>
      </c>
      <c r="E21" s="1043" t="str">
        <f>'World Cup'!L13</f>
        <v>Paraguay</v>
      </c>
      <c r="F21" s="966"/>
      <c r="G21" s="966" t="s">
        <v>1902</v>
      </c>
      <c r="H21" s="967"/>
      <c r="I21" s="1063"/>
      <c r="J21" s="1063"/>
      <c r="K21" s="1158"/>
      <c r="L21" s="1220" t="s">
        <v>1912</v>
      </c>
      <c r="M21" s="1221"/>
      <c r="N21" s="1222"/>
      <c r="O21" s="1054"/>
      <c r="P21" s="1149" t="s">
        <v>27</v>
      </c>
      <c r="Q21" s="942" t="s">
        <v>1914</v>
      </c>
      <c r="R21" s="943"/>
    </row>
    <row r="22" spans="1:21">
      <c r="A22" s="1159"/>
      <c r="B22" s="1218"/>
      <c r="C22" s="935">
        <v>45822</v>
      </c>
      <c r="D22" s="984" t="str">
        <f>'World Cup'!K18</f>
        <v>Australië</v>
      </c>
      <c r="E22" s="1045" t="str">
        <f>'World Cup'!L18</f>
        <v>Turkije</v>
      </c>
      <c r="F22" s="981"/>
      <c r="G22" s="981" t="s">
        <v>1902</v>
      </c>
      <c r="H22" s="982"/>
      <c r="I22" s="1063"/>
      <c r="J22" s="1063"/>
      <c r="K22" s="1158"/>
      <c r="L22" s="903" t="s">
        <v>781</v>
      </c>
      <c r="M22" s="904" t="s">
        <v>1904</v>
      </c>
      <c r="N22" s="905" t="s">
        <v>1905</v>
      </c>
      <c r="O22" s="1055"/>
      <c r="P22" s="1149" t="s">
        <v>28</v>
      </c>
      <c r="Q22" s="942" t="s">
        <v>1915</v>
      </c>
      <c r="R22" s="943"/>
    </row>
    <row r="23" spans="1:21">
      <c r="A23" s="1159"/>
      <c r="B23" s="1218"/>
      <c r="C23" s="935">
        <v>45827</v>
      </c>
      <c r="D23" s="984" t="str">
        <f>'World Cup'!K23</f>
        <v>USA</v>
      </c>
      <c r="E23" s="1045" t="str">
        <f>'World Cup'!L23</f>
        <v>Australië</v>
      </c>
      <c r="F23" s="981"/>
      <c r="G23" s="981" t="s">
        <v>1902</v>
      </c>
      <c r="H23" s="982"/>
      <c r="I23" s="1063"/>
      <c r="J23" s="1063"/>
      <c r="K23" s="1158"/>
      <c r="L23" s="906">
        <v>1</v>
      </c>
      <c r="M23" s="893" t="str">
        <f>'World Cup'!K42</f>
        <v>USA</v>
      </c>
      <c r="N23" s="894" t="str">
        <f>'World Cup'!L42</f>
        <v xml:space="preserve">   3        0 : 0</v>
      </c>
      <c r="O23" s="1056"/>
      <c r="P23" s="1149" t="s">
        <v>29</v>
      </c>
      <c r="Q23" s="942" t="s">
        <v>1916</v>
      </c>
      <c r="R23" s="943"/>
    </row>
    <row r="24" spans="1:21">
      <c r="A24" s="1159"/>
      <c r="B24" s="1218"/>
      <c r="C24" s="935">
        <v>45828</v>
      </c>
      <c r="D24" s="984" t="str">
        <f>'World Cup'!K28</f>
        <v>Turkije</v>
      </c>
      <c r="E24" s="1045" t="str">
        <f>'World Cup'!L28</f>
        <v>Paraguay</v>
      </c>
      <c r="F24" s="981"/>
      <c r="G24" s="981" t="s">
        <v>1902</v>
      </c>
      <c r="H24" s="982"/>
      <c r="I24" s="1063"/>
      <c r="J24" s="1063"/>
      <c r="K24" s="1158"/>
      <c r="L24" s="909">
        <v>2</v>
      </c>
      <c r="M24" s="899" t="str">
        <f>'World Cup'!K43</f>
        <v>Turkije</v>
      </c>
      <c r="N24" s="900" t="str">
        <f>'World Cup'!L43</f>
        <v xml:space="preserve">   3        0 : 0</v>
      </c>
      <c r="O24" s="1056"/>
      <c r="P24" s="1149" t="s">
        <v>1917</v>
      </c>
      <c r="Q24" s="942" t="s">
        <v>1918</v>
      </c>
      <c r="R24" s="944"/>
    </row>
    <row r="25" spans="1:21">
      <c r="A25" s="1159"/>
      <c r="B25" s="1218"/>
      <c r="C25" s="935">
        <v>45834</v>
      </c>
      <c r="D25" s="984" t="str">
        <f>'World Cup'!K33</f>
        <v>Turkije</v>
      </c>
      <c r="E25" s="1045" t="str">
        <f>'World Cup'!L33</f>
        <v>USA</v>
      </c>
      <c r="F25" s="981"/>
      <c r="G25" s="981" t="s">
        <v>1902</v>
      </c>
      <c r="H25" s="982"/>
      <c r="I25" s="1063"/>
      <c r="J25" s="1063"/>
      <c r="K25" s="1158"/>
      <c r="L25" s="909">
        <v>3</v>
      </c>
      <c r="M25" s="899" t="str">
        <f>'World Cup'!K44</f>
        <v>Australië</v>
      </c>
      <c r="N25" s="900" t="str">
        <f>'World Cup'!L44</f>
        <v xml:space="preserve">   3        0 : 0</v>
      </c>
      <c r="O25" s="1056"/>
      <c r="P25" s="1150" t="s">
        <v>1112</v>
      </c>
      <c r="Q25" s="945" t="s">
        <v>1919</v>
      </c>
      <c r="R25" s="946"/>
    </row>
    <row r="26" spans="1:21">
      <c r="A26" s="1159"/>
      <c r="B26" s="1219"/>
      <c r="C26" s="940">
        <v>45834</v>
      </c>
      <c r="D26" s="1051" t="str">
        <f>'World Cup'!K38</f>
        <v>Paraguay</v>
      </c>
      <c r="E26" s="1047" t="str">
        <f>'World Cup'!L38</f>
        <v>Australië</v>
      </c>
      <c r="F26" s="1048"/>
      <c r="G26" s="1048" t="s">
        <v>1902</v>
      </c>
      <c r="H26" s="1049"/>
      <c r="I26" s="1063"/>
      <c r="J26" s="1063"/>
      <c r="K26" s="1158"/>
      <c r="L26" s="918">
        <v>4</v>
      </c>
      <c r="M26" s="914" t="str">
        <f>'World Cup'!K45</f>
        <v>Paraguay</v>
      </c>
      <c r="N26" s="915" t="str">
        <f>'World Cup'!L45</f>
        <v xml:space="preserve">   3        0 : 0</v>
      </c>
      <c r="O26" s="1056"/>
      <c r="P26" s="1241" t="s">
        <v>1940</v>
      </c>
      <c r="Q26" s="1242"/>
      <c r="R26" s="1243"/>
    </row>
    <row r="27" spans="1:21">
      <c r="A27" s="1159"/>
      <c r="B27" s="1218" t="s">
        <v>1920</v>
      </c>
      <c r="C27" s="935">
        <v>45822</v>
      </c>
      <c r="D27" s="984" t="str">
        <f>'World Cup'!N13</f>
        <v>Duitsland</v>
      </c>
      <c r="E27" s="1045" t="str">
        <f>'World Cup'!O13</f>
        <v>Curacao</v>
      </c>
      <c r="F27" s="965"/>
      <c r="G27" s="966" t="s">
        <v>1902</v>
      </c>
      <c r="H27" s="967"/>
      <c r="I27" s="1063"/>
      <c r="J27" s="1063"/>
      <c r="K27" s="1158"/>
      <c r="L27" s="1220" t="s">
        <v>1921</v>
      </c>
      <c r="M27" s="1221"/>
      <c r="N27" s="1222"/>
      <c r="O27" s="1054"/>
      <c r="P27" s="1038" t="s">
        <v>1945</v>
      </c>
      <c r="Q27" s="957" t="s">
        <v>1904</v>
      </c>
      <c r="R27" s="1037" t="s">
        <v>1946</v>
      </c>
    </row>
    <row r="28" spans="1:21">
      <c r="A28" s="1159"/>
      <c r="B28" s="1218"/>
      <c r="C28" s="935">
        <v>45823</v>
      </c>
      <c r="D28" s="984" t="str">
        <f>'World Cup'!N18</f>
        <v>Ivoorkust</v>
      </c>
      <c r="E28" s="1045" t="str">
        <f>'World Cup'!O18</f>
        <v>Ecuador</v>
      </c>
      <c r="F28" s="980"/>
      <c r="G28" s="981" t="s">
        <v>1902</v>
      </c>
      <c r="H28" s="982"/>
      <c r="I28" s="1063"/>
      <c r="J28" s="1063"/>
      <c r="K28" s="1158"/>
      <c r="L28" s="903" t="s">
        <v>781</v>
      </c>
      <c r="M28" s="904" t="s">
        <v>1904</v>
      </c>
      <c r="N28" s="905" t="s">
        <v>1905</v>
      </c>
      <c r="O28" s="1055"/>
      <c r="P28" s="1059">
        <v>1</v>
      </c>
      <c r="Q28" s="893" t="s">
        <v>742</v>
      </c>
      <c r="R28" s="894">
        <v>1877</v>
      </c>
    </row>
    <row r="29" spans="1:21">
      <c r="A29" s="1159"/>
      <c r="B29" s="1218"/>
      <c r="C29" s="935">
        <v>45828</v>
      </c>
      <c r="D29" s="984" t="str">
        <f>'World Cup'!N23</f>
        <v>Duitsland</v>
      </c>
      <c r="E29" s="1045" t="str">
        <f>'World Cup'!O23</f>
        <v>Ivoorkust</v>
      </c>
      <c r="F29" s="980"/>
      <c r="G29" s="981" t="s">
        <v>1902</v>
      </c>
      <c r="H29" s="982"/>
      <c r="I29" s="1063"/>
      <c r="J29" s="1063"/>
      <c r="K29" s="1158"/>
      <c r="L29" s="906">
        <v>1</v>
      </c>
      <c r="M29" s="893" t="str">
        <f>'World Cup'!N42</f>
        <v>Duitsland</v>
      </c>
      <c r="N29" s="894" t="str">
        <f>'World Cup'!O42</f>
        <v xml:space="preserve">   3        0 : 0</v>
      </c>
      <c r="O29" s="1056"/>
      <c r="P29" s="1060">
        <v>2</v>
      </c>
      <c r="Q29" s="899" t="s">
        <v>840</v>
      </c>
      <c r="R29" s="900">
        <v>1876</v>
      </c>
    </row>
    <row r="30" spans="1:21">
      <c r="A30" s="1159"/>
      <c r="B30" s="1218"/>
      <c r="C30" s="935">
        <v>45829</v>
      </c>
      <c r="D30" s="984" t="str">
        <f>'World Cup'!N28</f>
        <v>Ecuador</v>
      </c>
      <c r="E30" s="1045" t="str">
        <f>'World Cup'!O28</f>
        <v>Curacao</v>
      </c>
      <c r="F30" s="980"/>
      <c r="G30" s="981" t="s">
        <v>1902</v>
      </c>
      <c r="H30" s="982"/>
      <c r="I30" s="1063"/>
      <c r="J30" s="1063"/>
      <c r="K30" s="1158"/>
      <c r="L30" s="909">
        <v>2</v>
      </c>
      <c r="M30" s="899" t="str">
        <f>'World Cup'!N43</f>
        <v>Ecuador</v>
      </c>
      <c r="N30" s="900" t="str">
        <f>'World Cup'!O43</f>
        <v xml:space="preserve">   3        0 : 0</v>
      </c>
      <c r="O30" s="1056"/>
      <c r="P30" s="1060">
        <v>3</v>
      </c>
      <c r="Q30" s="899" t="s">
        <v>743</v>
      </c>
      <c r="R30" s="900">
        <v>1874</v>
      </c>
      <c r="U30" s="27"/>
    </row>
    <row r="31" spans="1:21">
      <c r="A31" s="1159"/>
      <c r="B31" s="1218"/>
      <c r="C31" s="935">
        <v>45833</v>
      </c>
      <c r="D31" s="984" t="str">
        <f>'World Cup'!N38</f>
        <v>Ecuador</v>
      </c>
      <c r="E31" s="1045" t="str">
        <f>'World Cup'!O38</f>
        <v>Duitsland</v>
      </c>
      <c r="F31" s="980"/>
      <c r="G31" s="981" t="s">
        <v>1902</v>
      </c>
      <c r="H31" s="982"/>
      <c r="I31" s="1063"/>
      <c r="J31" s="1063"/>
      <c r="K31" s="1158"/>
      <c r="L31" s="909">
        <v>3</v>
      </c>
      <c r="M31" s="899" t="str">
        <f>'World Cup'!N44</f>
        <v>Ivoorkust</v>
      </c>
      <c r="N31" s="900" t="str">
        <f>'World Cup'!O44</f>
        <v xml:space="preserve">   3        0 : 0</v>
      </c>
      <c r="O31" s="1056"/>
      <c r="P31" s="1060">
        <v>4</v>
      </c>
      <c r="Q31" s="899" t="s">
        <v>744</v>
      </c>
      <c r="R31" s="900">
        <v>1825</v>
      </c>
    </row>
    <row r="32" spans="1:21">
      <c r="A32" s="1159"/>
      <c r="B32" s="1218"/>
      <c r="C32" s="928">
        <v>45833</v>
      </c>
      <c r="D32" s="1051" t="str">
        <f>'World Cup'!N33</f>
        <v>Curacao</v>
      </c>
      <c r="E32" s="1047" t="str">
        <f>'World Cup'!O33</f>
        <v>Ivoorkust</v>
      </c>
      <c r="F32" s="1052"/>
      <c r="G32" s="1048" t="s">
        <v>1902</v>
      </c>
      <c r="H32" s="1049"/>
      <c r="I32" s="1063"/>
      <c r="J32" s="1063"/>
      <c r="K32" s="1158"/>
      <c r="L32" s="918">
        <v>4</v>
      </c>
      <c r="M32" s="914" t="str">
        <f>'World Cup'!N45</f>
        <v>Curacao</v>
      </c>
      <c r="N32" s="915" t="str">
        <f>'World Cup'!O45</f>
        <v xml:space="preserve">   3        0 : 0</v>
      </c>
      <c r="O32" s="1056"/>
      <c r="P32" s="1060">
        <v>5</v>
      </c>
      <c r="Q32" s="899" t="s">
        <v>0</v>
      </c>
      <c r="R32" s="900">
        <v>1763</v>
      </c>
    </row>
    <row r="33" spans="1:18">
      <c r="A33" s="1159"/>
      <c r="B33" s="1217" t="s">
        <v>1922</v>
      </c>
      <c r="C33" s="932">
        <v>45822</v>
      </c>
      <c r="D33" s="1050" t="str">
        <f>'World Cup'!Q13</f>
        <v>Nederland</v>
      </c>
      <c r="E33" s="1043" t="str">
        <f>'World Cup'!R13</f>
        <v>Japan</v>
      </c>
      <c r="F33" s="966"/>
      <c r="G33" s="966" t="s">
        <v>1902</v>
      </c>
      <c r="H33" s="967"/>
      <c r="I33" s="1063"/>
      <c r="J33" s="1063"/>
      <c r="K33" s="1158"/>
      <c r="L33" s="1220" t="s">
        <v>1923</v>
      </c>
      <c r="M33" s="1221"/>
      <c r="N33" s="1222"/>
      <c r="O33" s="1054"/>
      <c r="P33" s="1060">
        <v>6</v>
      </c>
      <c r="Q33" s="899" t="s">
        <v>740</v>
      </c>
      <c r="R33" s="900">
        <v>1761</v>
      </c>
    </row>
    <row r="34" spans="1:18">
      <c r="A34" s="1159"/>
      <c r="B34" s="1218"/>
      <c r="C34" s="935">
        <v>45823</v>
      </c>
      <c r="D34" s="984" t="str">
        <f>'World Cup'!Q18</f>
        <v>Zweden</v>
      </c>
      <c r="E34" s="1045" t="str">
        <f>'World Cup'!R18</f>
        <v>Tunesië</v>
      </c>
      <c r="F34" s="981"/>
      <c r="G34" s="981" t="s">
        <v>1902</v>
      </c>
      <c r="H34" s="982"/>
      <c r="I34" s="1063"/>
      <c r="J34" s="1063"/>
      <c r="K34" s="1158"/>
      <c r="L34" s="903" t="s">
        <v>781</v>
      </c>
      <c r="M34" s="904" t="s">
        <v>1904</v>
      </c>
      <c r="N34" s="905" t="s">
        <v>1905</v>
      </c>
      <c r="O34" s="1055"/>
      <c r="P34" s="1060">
        <v>7</v>
      </c>
      <c r="Q34" s="899" t="s">
        <v>745</v>
      </c>
      <c r="R34" s="900">
        <v>1757</v>
      </c>
    </row>
    <row r="35" spans="1:18" ht="15" customHeight="1">
      <c r="A35" s="1159"/>
      <c r="B35" s="1218"/>
      <c r="C35" s="935">
        <v>45828</v>
      </c>
      <c r="D35" s="984" t="str">
        <f>'World Cup'!Q23</f>
        <v>Nederland</v>
      </c>
      <c r="E35" s="1045" t="str">
        <f>'World Cup'!R23</f>
        <v>Zweden</v>
      </c>
      <c r="F35" s="981"/>
      <c r="G35" s="981" t="s">
        <v>1902</v>
      </c>
      <c r="H35" s="982"/>
      <c r="I35" s="1063"/>
      <c r="J35" s="1063"/>
      <c r="K35" s="1158"/>
      <c r="L35" s="906">
        <v>1</v>
      </c>
      <c r="M35" s="893" t="str">
        <f>'World Cup'!Q42</f>
        <v>Nederland</v>
      </c>
      <c r="N35" s="894" t="str">
        <f>'World Cup'!R42</f>
        <v xml:space="preserve">   3        0 : 0</v>
      </c>
      <c r="O35" s="1056"/>
      <c r="P35" s="1060">
        <v>8</v>
      </c>
      <c r="Q35" s="899" t="s">
        <v>252</v>
      </c>
      <c r="R35" s="900">
        <v>1755</v>
      </c>
    </row>
    <row r="36" spans="1:18">
      <c r="A36" s="1159"/>
      <c r="B36" s="1218"/>
      <c r="C36" s="935">
        <v>45829</v>
      </c>
      <c r="D36" s="984" t="str">
        <f>'World Cup'!Q28</f>
        <v>Tunesië</v>
      </c>
      <c r="E36" s="1045" t="str">
        <f>'World Cup'!R28</f>
        <v>Japan</v>
      </c>
      <c r="F36" s="981"/>
      <c r="G36" s="981" t="s">
        <v>1902</v>
      </c>
      <c r="H36" s="982"/>
      <c r="I36" s="1063"/>
      <c r="J36" s="1063"/>
      <c r="K36" s="1158"/>
      <c r="L36" s="909">
        <v>2</v>
      </c>
      <c r="M36" s="899" t="str">
        <f>'World Cup'!Q43</f>
        <v>Japan</v>
      </c>
      <c r="N36" s="900" t="str">
        <f>'World Cup'!R43</f>
        <v xml:space="preserve">   3        0 : 0</v>
      </c>
      <c r="O36" s="1056"/>
      <c r="P36" s="1060">
        <v>9</v>
      </c>
      <c r="Q36" s="899" t="s">
        <v>741</v>
      </c>
      <c r="R36" s="900">
        <v>1734</v>
      </c>
    </row>
    <row r="37" spans="1:18">
      <c r="A37" s="1159"/>
      <c r="B37" s="1218"/>
      <c r="C37" s="921">
        <v>45833</v>
      </c>
      <c r="D37" s="984" t="str">
        <f>'World Cup'!Q38</f>
        <v>Tunesië</v>
      </c>
      <c r="E37" s="1045" t="str">
        <f>'World Cup'!R38</f>
        <v>Nederland</v>
      </c>
      <c r="F37" s="981"/>
      <c r="G37" s="981" t="s">
        <v>1902</v>
      </c>
      <c r="H37" s="982"/>
      <c r="I37" s="1063"/>
      <c r="J37" s="1063"/>
      <c r="K37" s="1158"/>
      <c r="L37" s="909">
        <v>3</v>
      </c>
      <c r="M37" s="899" t="str">
        <f>'World Cup'!Q44</f>
        <v>Zweden</v>
      </c>
      <c r="N37" s="900" t="str">
        <f>'World Cup'!R44</f>
        <v xml:space="preserve">   3        0 : 0</v>
      </c>
      <c r="O37" s="1056"/>
      <c r="P37" s="1060">
        <v>10</v>
      </c>
      <c r="Q37" s="899" t="s">
        <v>747</v>
      </c>
      <c r="R37" s="900">
        <v>1730</v>
      </c>
    </row>
    <row r="38" spans="1:18">
      <c r="A38" s="1159"/>
      <c r="B38" s="1219"/>
      <c r="C38" s="928">
        <v>45833</v>
      </c>
      <c r="D38" s="1051" t="str">
        <f>'World Cup'!Q33</f>
        <v>Japan</v>
      </c>
      <c r="E38" s="1047" t="str">
        <f>'World Cup'!R33</f>
        <v>Zweden</v>
      </c>
      <c r="F38" s="1048"/>
      <c r="G38" s="1048" t="s">
        <v>1902</v>
      </c>
      <c r="H38" s="1049"/>
      <c r="I38" s="1063"/>
      <c r="J38" s="1063"/>
      <c r="K38" s="1158"/>
      <c r="L38" s="918">
        <v>4</v>
      </c>
      <c r="M38" s="914" t="str">
        <f>'World Cup'!Q45</f>
        <v>Tunesië</v>
      </c>
      <c r="N38" s="915" t="str">
        <f>'World Cup'!R45</f>
        <v xml:space="preserve">   3        0 : 0</v>
      </c>
      <c r="O38" s="1056"/>
      <c r="P38" s="1060">
        <v>11</v>
      </c>
      <c r="Q38" s="899" t="s">
        <v>749</v>
      </c>
      <c r="R38" s="900">
        <v>1717</v>
      </c>
    </row>
    <row r="39" spans="1:18">
      <c r="A39" s="1159"/>
      <c r="B39" s="1217" t="s">
        <v>1924</v>
      </c>
      <c r="C39" s="948">
        <v>45823</v>
      </c>
      <c r="D39" s="1042" t="str">
        <f>'World Cup'!T13</f>
        <v>België</v>
      </c>
      <c r="E39" s="1043" t="str">
        <f>'World Cup'!U13</f>
        <v>Egypte</v>
      </c>
      <c r="F39" s="966"/>
      <c r="G39" s="966" t="s">
        <v>1902</v>
      </c>
      <c r="H39" s="967"/>
      <c r="I39" s="1063"/>
      <c r="J39" s="1063"/>
      <c r="K39" s="1158"/>
      <c r="L39" s="1220" t="s">
        <v>1925</v>
      </c>
      <c r="M39" s="1221"/>
      <c r="N39" s="1222"/>
      <c r="O39" s="1054"/>
      <c r="P39" s="1060">
        <v>13</v>
      </c>
      <c r="Q39" s="899" t="s">
        <v>357</v>
      </c>
      <c r="R39" s="900">
        <v>1693</v>
      </c>
    </row>
    <row r="40" spans="1:18">
      <c r="A40" s="1159"/>
      <c r="B40" s="1218"/>
      <c r="C40" s="949">
        <v>45824</v>
      </c>
      <c r="D40" s="1044" t="str">
        <f>'World Cup'!T18</f>
        <v>Iran</v>
      </c>
      <c r="E40" s="1045" t="str">
        <f>'World Cup'!U18</f>
        <v>Nieuw-Zeeland</v>
      </c>
      <c r="F40" s="981"/>
      <c r="G40" s="981" t="s">
        <v>1902</v>
      </c>
      <c r="H40" s="982"/>
      <c r="I40" s="1063"/>
      <c r="J40" s="1063"/>
      <c r="K40" s="1158"/>
      <c r="L40" s="903" t="s">
        <v>781</v>
      </c>
      <c r="M40" s="904" t="s">
        <v>1904</v>
      </c>
      <c r="N40" s="905" t="s">
        <v>1905</v>
      </c>
      <c r="O40" s="1055"/>
      <c r="P40" s="1060">
        <v>14</v>
      </c>
      <c r="Q40" s="899" t="s">
        <v>263</v>
      </c>
      <c r="R40" s="900">
        <v>1688</v>
      </c>
    </row>
    <row r="41" spans="1:18">
      <c r="A41" s="1159"/>
      <c r="B41" s="1218"/>
      <c r="C41" s="949">
        <v>45829</v>
      </c>
      <c r="D41" s="1044" t="str">
        <f>'World Cup'!T23</f>
        <v>België</v>
      </c>
      <c r="E41" s="1045" t="str">
        <f>'World Cup'!U23</f>
        <v>Iran</v>
      </c>
      <c r="F41" s="981"/>
      <c r="G41" s="981" t="s">
        <v>1902</v>
      </c>
      <c r="H41" s="982"/>
      <c r="I41" s="1063"/>
      <c r="J41" s="1063"/>
      <c r="K41" s="1158"/>
      <c r="L41" s="906">
        <v>1</v>
      </c>
      <c r="M41" s="893" t="str">
        <f>'World Cup'!T42</f>
        <v>België</v>
      </c>
      <c r="N41" s="894" t="str">
        <f>'World Cup'!U42</f>
        <v xml:space="preserve">   3        0 : 0</v>
      </c>
      <c r="O41" s="1056"/>
      <c r="P41" s="1061">
        <v>15</v>
      </c>
      <c r="Q41" s="899" t="s">
        <v>348</v>
      </c>
      <c r="R41" s="900">
        <v>1681</v>
      </c>
    </row>
    <row r="42" spans="1:18">
      <c r="A42" s="1159"/>
      <c r="B42" s="1218"/>
      <c r="C42" s="949">
        <v>45830</v>
      </c>
      <c r="D42" s="1044" t="str">
        <f>'World Cup'!T28</f>
        <v>Nieuw-Zeeland</v>
      </c>
      <c r="E42" s="1045" t="str">
        <f>'World Cup'!U28</f>
        <v>Egypte</v>
      </c>
      <c r="F42" s="981"/>
      <c r="G42" s="981" t="s">
        <v>1902</v>
      </c>
      <c r="H42" s="982"/>
      <c r="I42" s="1063"/>
      <c r="J42" s="1063"/>
      <c r="K42" s="1158"/>
      <c r="L42" s="909">
        <v>2</v>
      </c>
      <c r="M42" s="899" t="str">
        <f>'World Cup'!T43</f>
        <v>Nieuw-Zeeland</v>
      </c>
      <c r="N42" s="900" t="str">
        <f>'World Cup'!U43</f>
        <v xml:space="preserve">   3        0 : 0</v>
      </c>
      <c r="O42" s="1056"/>
      <c r="P42" s="1060">
        <v>16</v>
      </c>
      <c r="Q42" s="899" t="s">
        <v>456</v>
      </c>
      <c r="R42" s="900">
        <v>1673</v>
      </c>
    </row>
    <row r="43" spans="1:18">
      <c r="A43" s="1159"/>
      <c r="B43" s="1218"/>
      <c r="C43" s="949">
        <v>45865</v>
      </c>
      <c r="D43" s="1044" t="str">
        <f>'World Cup'!T38</f>
        <v>Nieuw-Zeeland</v>
      </c>
      <c r="E43" s="1045" t="str">
        <f>'World Cup'!U38</f>
        <v>België</v>
      </c>
      <c r="F43" s="981"/>
      <c r="G43" s="981" t="s">
        <v>1902</v>
      </c>
      <c r="H43" s="982"/>
      <c r="I43" s="1063"/>
      <c r="J43" s="1063"/>
      <c r="K43" s="1158"/>
      <c r="L43" s="909">
        <v>3</v>
      </c>
      <c r="M43" s="899" t="str">
        <f>'World Cup'!T44</f>
        <v>Iran</v>
      </c>
      <c r="N43" s="900" t="str">
        <f>'World Cup'!U44</f>
        <v xml:space="preserve">   2        0 : 0</v>
      </c>
      <c r="O43" s="1056"/>
      <c r="P43" s="1060">
        <v>17</v>
      </c>
      <c r="Q43" s="899" t="s">
        <v>251</v>
      </c>
      <c r="R43" s="900">
        <v>1673</v>
      </c>
    </row>
    <row r="44" spans="1:18">
      <c r="A44" s="1159"/>
      <c r="B44" s="1219"/>
      <c r="C44" s="950">
        <v>45865</v>
      </c>
      <c r="D44" s="1046" t="str">
        <f>'World Cup'!T33</f>
        <v>Egypte</v>
      </c>
      <c r="E44" s="1047" t="str">
        <f>'World Cup'!U33</f>
        <v>Iran</v>
      </c>
      <c r="F44" s="1048"/>
      <c r="G44" s="1048" t="s">
        <v>1902</v>
      </c>
      <c r="H44" s="1049"/>
      <c r="I44" s="1063"/>
      <c r="J44" s="1063"/>
      <c r="K44" s="1158"/>
      <c r="L44" s="918">
        <v>4</v>
      </c>
      <c r="M44" s="914" t="str">
        <f>'World Cup'!T45</f>
        <v>Egypte</v>
      </c>
      <c r="N44" s="915" t="str">
        <f>'World Cup'!U45</f>
        <v xml:space="preserve">   2        0 : 0</v>
      </c>
      <c r="O44" s="1056"/>
      <c r="P44" s="1060">
        <v>18</v>
      </c>
      <c r="Q44" s="899" t="s">
        <v>265</v>
      </c>
      <c r="R44" s="900">
        <v>1660</v>
      </c>
    </row>
    <row r="45" spans="1:18">
      <c r="A45" s="1159"/>
      <c r="B45" s="1217" t="s">
        <v>1926</v>
      </c>
      <c r="C45" s="948">
        <v>45823</v>
      </c>
      <c r="D45" s="1042" t="str">
        <f>'World Cup'!W13</f>
        <v>Spanje</v>
      </c>
      <c r="E45" s="1043" t="str">
        <f>'World Cup'!X13</f>
        <v>Kaapverdië</v>
      </c>
      <c r="F45" s="966"/>
      <c r="G45" s="966" t="s">
        <v>1902</v>
      </c>
      <c r="H45" s="967"/>
      <c r="I45" s="1063"/>
      <c r="J45" s="1063"/>
      <c r="K45" s="1158"/>
      <c r="L45" s="1220" t="s">
        <v>1927</v>
      </c>
      <c r="M45" s="1221"/>
      <c r="N45" s="1222"/>
      <c r="O45" s="1054"/>
      <c r="P45" s="1060">
        <v>19</v>
      </c>
      <c r="Q45" s="899" t="s">
        <v>748</v>
      </c>
      <c r="R45" s="900">
        <v>1649</v>
      </c>
    </row>
    <row r="46" spans="1:18">
      <c r="A46" s="1159"/>
      <c r="B46" s="1218"/>
      <c r="C46" s="949">
        <v>45824</v>
      </c>
      <c r="D46" s="1044" t="str">
        <f>'World Cup'!W18</f>
        <v>Saoedi-Arabië</v>
      </c>
      <c r="E46" s="1045" t="str">
        <f>'World Cup'!X18</f>
        <v>Uruguay</v>
      </c>
      <c r="F46" s="981"/>
      <c r="G46" s="981" t="s">
        <v>1902</v>
      </c>
      <c r="H46" s="982"/>
      <c r="I46" s="1063"/>
      <c r="J46" s="1063"/>
      <c r="K46" s="1158"/>
      <c r="L46" s="903" t="s">
        <v>781</v>
      </c>
      <c r="M46" s="904" t="s">
        <v>1904</v>
      </c>
      <c r="N46" s="905" t="s">
        <v>1905</v>
      </c>
      <c r="O46" s="1055"/>
      <c r="P46" s="1060">
        <v>21</v>
      </c>
      <c r="Q46" s="899" t="s">
        <v>1947</v>
      </c>
      <c r="R46" s="900">
        <v>1615</v>
      </c>
    </row>
    <row r="47" spans="1:18">
      <c r="A47" s="1159"/>
      <c r="B47" s="1218"/>
      <c r="C47" s="949">
        <v>45829</v>
      </c>
      <c r="D47" s="1044" t="str">
        <f>'World Cup'!W23</f>
        <v>Spanje</v>
      </c>
      <c r="E47" s="1045" t="str">
        <f>'World Cup'!X23</f>
        <v>Saoedi-Arabië</v>
      </c>
      <c r="F47" s="981"/>
      <c r="G47" s="981" t="s">
        <v>1902</v>
      </c>
      <c r="H47" s="982"/>
      <c r="I47" s="1063"/>
      <c r="J47" s="1063"/>
      <c r="K47" s="1158"/>
      <c r="L47" s="906">
        <v>1</v>
      </c>
      <c r="M47" s="893" t="str">
        <f>'World Cup'!W42</f>
        <v>Spanje</v>
      </c>
      <c r="N47" s="894" t="str">
        <f>'World Cup'!X42</f>
        <v xml:space="preserve">   3        0 : 0</v>
      </c>
      <c r="O47" s="1056"/>
      <c r="P47" s="1060">
        <v>22</v>
      </c>
      <c r="Q47" s="899" t="s">
        <v>761</v>
      </c>
      <c r="R47" s="900">
        <v>1592</v>
      </c>
    </row>
    <row r="48" spans="1:18">
      <c r="A48" s="1159"/>
      <c r="B48" s="1218"/>
      <c r="C48" s="949">
        <v>45830</v>
      </c>
      <c r="D48" s="1044" t="str">
        <f>'World Cup'!W28</f>
        <v>Uruguay</v>
      </c>
      <c r="E48" s="1045" t="str">
        <f>'World Cup'!X28</f>
        <v>Kaapverdië</v>
      </c>
      <c r="F48" s="981"/>
      <c r="G48" s="981" t="s">
        <v>1902</v>
      </c>
      <c r="H48" s="982"/>
      <c r="I48" s="1063"/>
      <c r="J48" s="1063"/>
      <c r="K48" s="1158"/>
      <c r="L48" s="909">
        <v>2</v>
      </c>
      <c r="M48" s="899" t="str">
        <f>'World Cup'!W43</f>
        <v>Uruguay</v>
      </c>
      <c r="N48" s="900" t="str">
        <f>'World Cup'!X43</f>
        <v xml:space="preserve">   3        0 : 0</v>
      </c>
      <c r="O48" s="1056"/>
      <c r="P48" s="1060">
        <v>23</v>
      </c>
      <c r="Q48" s="899" t="s">
        <v>415</v>
      </c>
      <c r="R48" s="900">
        <v>1594</v>
      </c>
    </row>
    <row r="49" spans="1:18">
      <c r="A49" s="1159"/>
      <c r="B49" s="1218"/>
      <c r="C49" s="949">
        <v>45835</v>
      </c>
      <c r="D49" s="1044" t="str">
        <f>'World Cup'!W38</f>
        <v>Uruguay</v>
      </c>
      <c r="E49" s="1045" t="str">
        <f>'World Cup'!X38</f>
        <v>Spanje</v>
      </c>
      <c r="F49" s="981"/>
      <c r="G49" s="981" t="s">
        <v>1902</v>
      </c>
      <c r="H49" s="982"/>
      <c r="I49" s="1063"/>
      <c r="J49" s="1063"/>
      <c r="K49" s="1158"/>
      <c r="L49" s="909">
        <v>3</v>
      </c>
      <c r="M49" s="899" t="str">
        <f>'World Cup'!W44</f>
        <v>Saoedi-Arabië</v>
      </c>
      <c r="N49" s="900" t="str">
        <f>'World Cup'!X44</f>
        <v xml:space="preserve">   3        0 : 0</v>
      </c>
      <c r="O49" s="1056"/>
      <c r="P49" s="1060">
        <v>24</v>
      </c>
      <c r="Q49" s="899" t="s">
        <v>753</v>
      </c>
      <c r="R49" s="900">
        <v>1593</v>
      </c>
    </row>
    <row r="50" spans="1:18">
      <c r="A50" s="1159"/>
      <c r="B50" s="1219"/>
      <c r="C50" s="950">
        <v>45835</v>
      </c>
      <c r="D50" s="1046" t="str">
        <f>'World Cup'!W33</f>
        <v>Kaapverdië</v>
      </c>
      <c r="E50" s="1047" t="str">
        <f>'World Cup'!X33</f>
        <v>Saoedi-Arabië</v>
      </c>
      <c r="F50" s="1048"/>
      <c r="G50" s="1048" t="s">
        <v>1902</v>
      </c>
      <c r="H50" s="1049"/>
      <c r="I50" s="1063"/>
      <c r="J50" s="1063"/>
      <c r="K50" s="1158"/>
      <c r="L50" s="918">
        <v>4</v>
      </c>
      <c r="M50" s="914" t="str">
        <f>'World Cup'!W45</f>
        <v>Kaapverdië</v>
      </c>
      <c r="N50" s="915" t="str">
        <f>'World Cup'!X45</f>
        <v xml:space="preserve">   3        0 : 0</v>
      </c>
      <c r="O50" s="1056"/>
      <c r="P50" s="1060">
        <v>25</v>
      </c>
      <c r="Q50" s="899" t="s">
        <v>1942</v>
      </c>
      <c r="R50" s="900">
        <v>1589</v>
      </c>
    </row>
    <row r="51" spans="1:18">
      <c r="A51" s="1159"/>
      <c r="B51" s="1217" t="s">
        <v>1928</v>
      </c>
      <c r="C51" s="948">
        <v>45824</v>
      </c>
      <c r="D51" s="1042" t="str">
        <f>'World Cup'!Z13</f>
        <v>Frankrijk</v>
      </c>
      <c r="E51" s="1043" t="str">
        <f>'World Cup'!AA13</f>
        <v>Senegal</v>
      </c>
      <c r="F51" s="966"/>
      <c r="G51" s="966" t="s">
        <v>1902</v>
      </c>
      <c r="H51" s="967"/>
      <c r="I51" s="1063"/>
      <c r="J51" s="1063"/>
      <c r="K51" s="1158"/>
      <c r="L51" s="1220" t="s">
        <v>1929</v>
      </c>
      <c r="M51" s="1221"/>
      <c r="N51" s="1222"/>
      <c r="O51" s="1054"/>
      <c r="P51" s="1060">
        <v>27</v>
      </c>
      <c r="Q51" s="899" t="s">
        <v>760</v>
      </c>
      <c r="R51" s="900">
        <v>1580</v>
      </c>
    </row>
    <row r="52" spans="1:18">
      <c r="A52" s="1159"/>
      <c r="B52" s="1218"/>
      <c r="C52" s="949">
        <v>45825</v>
      </c>
      <c r="D52" s="1044" t="str">
        <f>'World Cup'!Z18</f>
        <v>Irak</v>
      </c>
      <c r="E52" s="1045" t="str">
        <f>'World Cup'!AA18</f>
        <v>Noorwegen</v>
      </c>
      <c r="F52" s="981"/>
      <c r="G52" s="1053" t="s">
        <v>1902</v>
      </c>
      <c r="H52" s="982"/>
      <c r="I52" s="1063"/>
      <c r="J52" s="1063"/>
      <c r="K52" s="1158"/>
      <c r="L52" s="903" t="s">
        <v>781</v>
      </c>
      <c r="M52" s="904" t="s">
        <v>1904</v>
      </c>
      <c r="N52" s="905" t="s">
        <v>1905</v>
      </c>
      <c r="O52" s="1055"/>
      <c r="P52" s="1060">
        <v>28</v>
      </c>
      <c r="Q52" s="899" t="s">
        <v>762</v>
      </c>
      <c r="R52" s="900">
        <v>1564</v>
      </c>
    </row>
    <row r="53" spans="1:18">
      <c r="A53" s="1159"/>
      <c r="B53" s="1218"/>
      <c r="C53" s="949">
        <v>45830</v>
      </c>
      <c r="D53" s="1044" t="str">
        <f>'World Cup'!Z23</f>
        <v>Frankrijk</v>
      </c>
      <c r="E53" s="1045" t="str">
        <f>'World Cup'!AA23</f>
        <v>Irak</v>
      </c>
      <c r="F53" s="981"/>
      <c r="G53" s="981" t="s">
        <v>1902</v>
      </c>
      <c r="H53" s="982"/>
      <c r="I53" s="1063"/>
      <c r="J53" s="1063"/>
      <c r="K53" s="1158"/>
      <c r="L53" s="906">
        <v>1</v>
      </c>
      <c r="M53" s="893" t="str">
        <f>'World Cup'!Z42</f>
        <v>Frankrijk</v>
      </c>
      <c r="N53" s="894" t="str">
        <f>'World Cup'!AA42</f>
        <v xml:space="preserve">   3        0 : 0</v>
      </c>
      <c r="O53" s="1056"/>
      <c r="P53" s="1060">
        <v>29</v>
      </c>
      <c r="Q53" s="899" t="s">
        <v>327</v>
      </c>
      <c r="R53" s="900">
        <v>1563</v>
      </c>
    </row>
    <row r="54" spans="1:18">
      <c r="A54" s="1159"/>
      <c r="B54" s="1218"/>
      <c r="C54" s="949">
        <v>45831</v>
      </c>
      <c r="D54" s="1044" t="str">
        <f>'World Cup'!Z28</f>
        <v>Noorwegen</v>
      </c>
      <c r="E54" s="1045" t="str">
        <f>'World Cup'!AA28</f>
        <v>Senegal</v>
      </c>
      <c r="F54" s="981"/>
      <c r="G54" s="981" t="s">
        <v>1902</v>
      </c>
      <c r="H54" s="982"/>
      <c r="I54" s="1063"/>
      <c r="J54" s="1063"/>
      <c r="K54" s="1158"/>
      <c r="L54" s="909">
        <v>2</v>
      </c>
      <c r="M54" s="899" t="str">
        <f>'World Cup'!Z43</f>
        <v>Senegal</v>
      </c>
      <c r="N54" s="900" t="str">
        <f>'World Cup'!AA43</f>
        <v xml:space="preserve">   3        0 : 0</v>
      </c>
      <c r="O54" s="1056"/>
      <c r="P54" s="1060">
        <v>30</v>
      </c>
      <c r="Q54" s="899" t="s">
        <v>419</v>
      </c>
      <c r="R54" s="900">
        <v>1556</v>
      </c>
    </row>
    <row r="55" spans="1:18">
      <c r="A55" s="1159"/>
      <c r="B55" s="1218"/>
      <c r="C55" s="949">
        <v>45834</v>
      </c>
      <c r="D55" s="1044" t="str">
        <f>'World Cup'!Z33</f>
        <v>Noorwegen</v>
      </c>
      <c r="E55" s="1045" t="str">
        <f>'World Cup'!AA33</f>
        <v>Frankrijk</v>
      </c>
      <c r="F55" s="981"/>
      <c r="G55" s="981" t="s">
        <v>1902</v>
      </c>
      <c r="H55" s="982"/>
      <c r="I55" s="1063"/>
      <c r="J55" s="1063"/>
      <c r="K55" s="1158"/>
      <c r="L55" s="909">
        <v>3</v>
      </c>
      <c r="M55" s="899" t="str">
        <f>'World Cup'!Z44</f>
        <v>Noorwegen</v>
      </c>
      <c r="N55" s="900" t="str">
        <f>'World Cup'!AA44</f>
        <v xml:space="preserve">   3        0 : 0</v>
      </c>
      <c r="O55" s="1056"/>
      <c r="P55" s="1060">
        <v>31</v>
      </c>
      <c r="Q55" s="899" t="s">
        <v>759</v>
      </c>
      <c r="R55" s="900">
        <v>1550</v>
      </c>
    </row>
    <row r="56" spans="1:18">
      <c r="A56" s="1159"/>
      <c r="B56" s="1219"/>
      <c r="C56" s="950">
        <v>45834</v>
      </c>
      <c r="D56" s="1046" t="str">
        <f>'World Cup'!Z38</f>
        <v>Senegal</v>
      </c>
      <c r="E56" s="1047" t="str">
        <f>'World Cup'!AA38</f>
        <v>Irak</v>
      </c>
      <c r="F56" s="1048"/>
      <c r="G56" s="1048" t="s">
        <v>1902</v>
      </c>
      <c r="H56" s="1049"/>
      <c r="I56" s="1063"/>
      <c r="J56" s="1063"/>
      <c r="K56" s="1158"/>
      <c r="L56" s="918">
        <v>4</v>
      </c>
      <c r="M56" s="914" t="str">
        <f>'World Cup'!Z45</f>
        <v>Irak</v>
      </c>
      <c r="N56" s="915" t="str">
        <f>'World Cup'!AA45</f>
        <v xml:space="preserve">   3        0 : 0</v>
      </c>
      <c r="O56" s="1056"/>
      <c r="P56" s="1060">
        <v>33</v>
      </c>
      <c r="Q56" s="899" t="s">
        <v>261</v>
      </c>
      <c r="R56" s="900">
        <v>1540</v>
      </c>
    </row>
    <row r="57" spans="1:18">
      <c r="A57" s="1159"/>
      <c r="B57" s="1217" t="s">
        <v>1930</v>
      </c>
      <c r="C57" s="948">
        <v>45825</v>
      </c>
      <c r="D57" s="1042" t="str">
        <f>'World Cup'!AC13</f>
        <v>Argentinië</v>
      </c>
      <c r="E57" s="1043" t="str">
        <f>'World Cup'!AD13</f>
        <v>Algerije</v>
      </c>
      <c r="F57" s="966"/>
      <c r="G57" s="966" t="s">
        <v>1902</v>
      </c>
      <c r="H57" s="967"/>
      <c r="I57" s="1063"/>
      <c r="J57" s="1063"/>
      <c r="K57" s="1158"/>
      <c r="L57" s="1220" t="s">
        <v>1931</v>
      </c>
      <c r="M57" s="1221"/>
      <c r="N57" s="1222"/>
      <c r="O57" s="1054"/>
      <c r="P57" s="1060">
        <v>34</v>
      </c>
      <c r="Q57" s="899" t="s">
        <v>765</v>
      </c>
      <c r="R57" s="900">
        <v>1532</v>
      </c>
    </row>
    <row r="58" spans="1:18">
      <c r="A58" s="1159"/>
      <c r="B58" s="1218"/>
      <c r="C58" s="949">
        <v>45826</v>
      </c>
      <c r="D58" s="1044" t="str">
        <f>'World Cup'!AC18</f>
        <v>Oostenrijk</v>
      </c>
      <c r="E58" s="1045" t="str">
        <f>'World Cup'!AD18</f>
        <v>Jordanië</v>
      </c>
      <c r="F58" s="981"/>
      <c r="G58" s="981" t="s">
        <v>1902</v>
      </c>
      <c r="H58" s="982"/>
      <c r="I58" s="1063"/>
      <c r="J58" s="1063"/>
      <c r="K58" s="1158"/>
      <c r="L58" s="903" t="s">
        <v>781</v>
      </c>
      <c r="M58" s="904" t="s">
        <v>1904</v>
      </c>
      <c r="N58" s="905" t="s">
        <v>1905</v>
      </c>
      <c r="O58" s="1055"/>
      <c r="P58" s="1060">
        <v>38</v>
      </c>
      <c r="Q58" s="899" t="s">
        <v>750</v>
      </c>
      <c r="R58" s="900">
        <v>1514</v>
      </c>
    </row>
    <row r="59" spans="1:18">
      <c r="A59" s="1159"/>
      <c r="B59" s="1218"/>
      <c r="C59" s="949">
        <v>45831</v>
      </c>
      <c r="D59" s="1044" t="str">
        <f>'World Cup'!AC23</f>
        <v>Argentinië</v>
      </c>
      <c r="E59" s="1045" t="str">
        <f>'World Cup'!AD23</f>
        <v>Oostenrijk</v>
      </c>
      <c r="F59" s="981"/>
      <c r="G59" s="981" t="s">
        <v>1902</v>
      </c>
      <c r="H59" s="982"/>
      <c r="I59" s="1063"/>
      <c r="J59" s="1063"/>
      <c r="K59" s="1158"/>
      <c r="L59" s="906">
        <v>1</v>
      </c>
      <c r="M59" s="893" t="str">
        <f>'World Cup'!AC42</f>
        <v>Argentinië</v>
      </c>
      <c r="N59" s="894" t="str">
        <f>'World Cup'!AD42</f>
        <v xml:space="preserve">   3        0 : 0</v>
      </c>
      <c r="O59" s="1056"/>
      <c r="P59" s="1060">
        <v>40</v>
      </c>
      <c r="Q59" s="899" t="s">
        <v>413</v>
      </c>
      <c r="R59" s="900">
        <v>1503</v>
      </c>
    </row>
    <row r="60" spans="1:18">
      <c r="A60" s="1159"/>
      <c r="B60" s="1218"/>
      <c r="C60" s="949">
        <v>45832</v>
      </c>
      <c r="D60" s="1044" t="str">
        <f>'World Cup'!AC28</f>
        <v>Jordanië</v>
      </c>
      <c r="E60" s="1045" t="str">
        <f>'World Cup'!AD28</f>
        <v>Algerije</v>
      </c>
      <c r="F60" s="981"/>
      <c r="G60" s="981" t="s">
        <v>1902</v>
      </c>
      <c r="H60" s="982"/>
      <c r="I60" s="1063"/>
      <c r="J60" s="1063"/>
      <c r="K60" s="1158"/>
      <c r="L60" s="909">
        <v>2</v>
      </c>
      <c r="M60" s="899" t="str">
        <f>'World Cup'!AC43</f>
        <v>Oostenrijk</v>
      </c>
      <c r="N60" s="900" t="str">
        <f>'World Cup'!AD43</f>
        <v xml:space="preserve">   3        0 : 0</v>
      </c>
      <c r="O60" s="1056"/>
      <c r="P60" s="1060">
        <v>41</v>
      </c>
      <c r="Q60" s="899" t="s">
        <v>1941</v>
      </c>
      <c r="R60" s="900">
        <v>1501</v>
      </c>
    </row>
    <row r="61" spans="1:18">
      <c r="A61" s="1159"/>
      <c r="B61" s="1218"/>
      <c r="C61" s="949">
        <v>45836</v>
      </c>
      <c r="D61" s="1044" t="str">
        <f>'World Cup'!AC38</f>
        <v>Jordanië</v>
      </c>
      <c r="E61" s="1045" t="str">
        <f>'World Cup'!AD38</f>
        <v>Argentinië</v>
      </c>
      <c r="F61" s="981"/>
      <c r="G61" s="981" t="s">
        <v>1902</v>
      </c>
      <c r="H61" s="982"/>
      <c r="I61" s="1063"/>
      <c r="J61" s="1063"/>
      <c r="K61" s="1158"/>
      <c r="L61" s="909">
        <v>3</v>
      </c>
      <c r="M61" s="899" t="str">
        <f>'World Cup'!AC44</f>
        <v>Algerije</v>
      </c>
      <c r="N61" s="900" t="str">
        <f>'World Cup'!AD44</f>
        <v xml:space="preserve">   3        0 : 0</v>
      </c>
      <c r="O61" s="1056"/>
      <c r="P61" s="1060">
        <v>43</v>
      </c>
      <c r="Q61" s="899" t="s">
        <v>757</v>
      </c>
      <c r="R61" s="900">
        <v>1498</v>
      </c>
    </row>
    <row r="62" spans="1:18">
      <c r="A62" s="1159"/>
      <c r="B62" s="1219"/>
      <c r="C62" s="950">
        <v>45836</v>
      </c>
      <c r="D62" s="1046" t="str">
        <f>'World Cup'!AC33</f>
        <v>Algerije</v>
      </c>
      <c r="E62" s="1047" t="str">
        <f>'World Cup'!AD33</f>
        <v>Oostenrijk</v>
      </c>
      <c r="F62" s="1048"/>
      <c r="G62" s="1048" t="s">
        <v>1902</v>
      </c>
      <c r="H62" s="1049"/>
      <c r="I62" s="1063"/>
      <c r="J62" s="1063"/>
      <c r="K62" s="1158"/>
      <c r="L62" s="918">
        <v>4</v>
      </c>
      <c r="M62" s="914" t="str">
        <f>'World Cup'!AC45</f>
        <v>Jordanië</v>
      </c>
      <c r="N62" s="915" t="str">
        <f>'World Cup'!AD45</f>
        <v xml:space="preserve">   3        0 : 0</v>
      </c>
      <c r="O62" s="1056"/>
      <c r="P62" s="1060">
        <v>44</v>
      </c>
      <c r="Q62" s="899" t="s">
        <v>754</v>
      </c>
      <c r="R62" s="900">
        <v>1483</v>
      </c>
    </row>
    <row r="63" spans="1:18">
      <c r="A63" s="1159"/>
      <c r="B63" s="1218" t="s">
        <v>1932</v>
      </c>
      <c r="C63" s="948">
        <v>45825</v>
      </c>
      <c r="D63" s="1042" t="str">
        <f>'World Cup'!AF13</f>
        <v>Portugal</v>
      </c>
      <c r="E63" s="1043" t="str">
        <f>'World Cup'!AG13</f>
        <v>Congo</v>
      </c>
      <c r="F63" s="966"/>
      <c r="G63" s="966" t="s">
        <v>1902</v>
      </c>
      <c r="H63" s="967"/>
      <c r="I63" s="1063"/>
      <c r="J63" s="1063"/>
      <c r="K63" s="1158"/>
      <c r="L63" s="1244" t="s">
        <v>1933</v>
      </c>
      <c r="M63" s="1245"/>
      <c r="N63" s="1246"/>
      <c r="O63" s="1054"/>
      <c r="P63" s="1060">
        <v>46</v>
      </c>
      <c r="Q63" s="899" t="s">
        <v>1948</v>
      </c>
      <c r="R63" s="900">
        <v>1478</v>
      </c>
    </row>
    <row r="64" spans="1:18">
      <c r="A64" s="1159"/>
      <c r="B64" s="1218"/>
      <c r="C64" s="949">
        <v>45826</v>
      </c>
      <c r="D64" s="1044" t="str">
        <f>'World Cup'!AF18</f>
        <v>Oezbekistan</v>
      </c>
      <c r="E64" s="1045" t="str">
        <f>'World Cup'!AG18</f>
        <v>Colombia</v>
      </c>
      <c r="F64" s="981"/>
      <c r="G64" s="981" t="s">
        <v>1902</v>
      </c>
      <c r="H64" s="982"/>
      <c r="I64" s="1063"/>
      <c r="J64" s="1063"/>
      <c r="K64" s="1158"/>
      <c r="L64" s="903" t="s">
        <v>781</v>
      </c>
      <c r="M64" s="904" t="s">
        <v>1904</v>
      </c>
      <c r="N64" s="905" t="s">
        <v>1905</v>
      </c>
      <c r="O64" s="1055"/>
      <c r="P64" s="1060">
        <v>50</v>
      </c>
      <c r="Q64" s="899" t="s">
        <v>774</v>
      </c>
      <c r="R64" s="900">
        <v>1465</v>
      </c>
    </row>
    <row r="65" spans="1:18">
      <c r="A65" s="1159"/>
      <c r="B65" s="1218"/>
      <c r="C65" s="949">
        <v>45831</v>
      </c>
      <c r="D65" s="1044" t="str">
        <f>'World Cup'!AF23</f>
        <v>Portugal</v>
      </c>
      <c r="E65" s="1045" t="str">
        <f>'World Cup'!AG23</f>
        <v>Oezbekistan</v>
      </c>
      <c r="F65" s="981"/>
      <c r="G65" s="981" t="s">
        <v>1902</v>
      </c>
      <c r="H65" s="982"/>
      <c r="I65" s="1063"/>
      <c r="J65" s="1063"/>
      <c r="K65" s="1158"/>
      <c r="L65" s="906">
        <v>1</v>
      </c>
      <c r="M65" s="893" t="str">
        <f>'World Cup'!AF42</f>
        <v>Portugal</v>
      </c>
      <c r="N65" s="894" t="str">
        <f>'World Cup'!AG42</f>
        <v xml:space="preserve">   3        0 : 0</v>
      </c>
      <c r="O65" s="1056"/>
      <c r="P65" s="1060">
        <v>55</v>
      </c>
      <c r="Q65" s="899" t="s">
        <v>426</v>
      </c>
      <c r="R65" s="900">
        <v>1455</v>
      </c>
    </row>
    <row r="66" spans="1:18">
      <c r="A66" s="1159"/>
      <c r="B66" s="1218"/>
      <c r="C66" s="949">
        <v>45832</v>
      </c>
      <c r="D66" s="1044" t="str">
        <f>'World Cup'!AF28</f>
        <v>Colombia</v>
      </c>
      <c r="E66" s="1045" t="str">
        <f>'World Cup'!AG28</f>
        <v>Congo</v>
      </c>
      <c r="F66" s="981"/>
      <c r="G66" s="981" t="s">
        <v>1902</v>
      </c>
      <c r="H66" s="982"/>
      <c r="I66" s="1063"/>
      <c r="J66" s="1063"/>
      <c r="K66" s="1158"/>
      <c r="L66" s="909">
        <v>2</v>
      </c>
      <c r="M66" s="899" t="str">
        <f>'World Cup'!AF43</f>
        <v>Colombia</v>
      </c>
      <c r="N66" s="900" t="str">
        <f>'World Cup'!AG43</f>
        <v xml:space="preserve">   3        0 : 0</v>
      </c>
      <c r="O66" s="1056"/>
      <c r="P66" s="1060">
        <v>57</v>
      </c>
      <c r="Q66" s="899" t="s">
        <v>509</v>
      </c>
      <c r="R66" s="900">
        <v>1447</v>
      </c>
    </row>
    <row r="67" spans="1:18">
      <c r="A67" s="1159"/>
      <c r="B67" s="1218"/>
      <c r="C67" s="949">
        <v>45836</v>
      </c>
      <c r="D67" s="1044" t="str">
        <f>'World Cup'!AF33</f>
        <v>Colombia</v>
      </c>
      <c r="E67" s="1045" t="str">
        <f>'World Cup'!AG33</f>
        <v>Portugal</v>
      </c>
      <c r="F67" s="981"/>
      <c r="G67" s="981" t="s">
        <v>1902</v>
      </c>
      <c r="H67" s="982"/>
      <c r="I67" s="1063"/>
      <c r="J67" s="1063"/>
      <c r="K67" s="1158"/>
      <c r="L67" s="909">
        <v>3</v>
      </c>
      <c r="M67" s="899" t="str">
        <f>'World Cup'!AF44</f>
        <v>Congo</v>
      </c>
      <c r="N67" s="900" t="str">
        <f>'World Cup'!AG44</f>
        <v xml:space="preserve">   3        0 : 0</v>
      </c>
      <c r="O67" s="1056"/>
      <c r="P67" s="1060">
        <v>60</v>
      </c>
      <c r="Q67" s="899" t="s">
        <v>1944</v>
      </c>
      <c r="R67" s="900">
        <v>1430</v>
      </c>
    </row>
    <row r="68" spans="1:18">
      <c r="A68" s="1159"/>
      <c r="B68" s="1218"/>
      <c r="C68" s="950">
        <v>45836</v>
      </c>
      <c r="D68" s="1046" t="str">
        <f>'World Cup'!AF38</f>
        <v>Congo</v>
      </c>
      <c r="E68" s="1047" t="str">
        <f>'World Cup'!AG38</f>
        <v>Oezbekistan</v>
      </c>
      <c r="F68" s="1048"/>
      <c r="G68" s="1048" t="s">
        <v>1902</v>
      </c>
      <c r="H68" s="1049"/>
      <c r="I68" s="1063"/>
      <c r="J68" s="1063"/>
      <c r="K68" s="1158"/>
      <c r="L68" s="918">
        <v>4</v>
      </c>
      <c r="M68" s="914" t="str">
        <f>'World Cup'!AF45</f>
        <v>Oezbekistan</v>
      </c>
      <c r="N68" s="915" t="str">
        <f>'World Cup'!AG45</f>
        <v xml:space="preserve">   3        0 : 0</v>
      </c>
      <c r="O68" s="1056"/>
      <c r="P68" s="1060">
        <v>61</v>
      </c>
      <c r="Q68" s="899" t="s">
        <v>1748</v>
      </c>
      <c r="R68" s="900">
        <v>1421</v>
      </c>
    </row>
    <row r="69" spans="1:18">
      <c r="A69" s="1159"/>
      <c r="B69" s="1217" t="s">
        <v>1934</v>
      </c>
      <c r="C69" s="954">
        <v>45825</v>
      </c>
      <c r="D69" s="933" t="str">
        <f>'World Cup'!AI13</f>
        <v>Engeland</v>
      </c>
      <c r="E69" s="894" t="str">
        <f>'World Cup'!AJ13</f>
        <v>Kroatië</v>
      </c>
      <c r="F69" s="895"/>
      <c r="G69" s="895" t="s">
        <v>1902</v>
      </c>
      <c r="H69" s="896"/>
      <c r="I69" s="1063"/>
      <c r="J69" s="1063"/>
      <c r="K69" s="1158"/>
      <c r="L69" s="1220" t="s">
        <v>1935</v>
      </c>
      <c r="M69" s="1221"/>
      <c r="N69" s="1222"/>
      <c r="O69" s="1054"/>
      <c r="P69" s="1060">
        <v>63</v>
      </c>
      <c r="Q69" s="899" t="s">
        <v>1747</v>
      </c>
      <c r="R69" s="900">
        <v>1391</v>
      </c>
    </row>
    <row r="70" spans="1:18">
      <c r="A70" s="1159"/>
      <c r="B70" s="1218"/>
      <c r="C70" s="955">
        <v>45826</v>
      </c>
      <c r="D70" s="936" t="str">
        <f>'World Cup'!AI18</f>
        <v>Ghana</v>
      </c>
      <c r="E70" s="900" t="str">
        <f>'World Cup'!AJ18</f>
        <v>Panama</v>
      </c>
      <c r="F70" s="901"/>
      <c r="G70" s="901" t="s">
        <v>1902</v>
      </c>
      <c r="H70" s="902"/>
      <c r="I70" s="1063"/>
      <c r="J70" s="1063"/>
      <c r="K70" s="1158"/>
      <c r="L70" s="903" t="s">
        <v>781</v>
      </c>
      <c r="M70" s="904" t="s">
        <v>1904</v>
      </c>
      <c r="N70" s="905" t="s">
        <v>1905</v>
      </c>
      <c r="O70" s="1055"/>
      <c r="P70" s="1060">
        <v>65</v>
      </c>
      <c r="Q70" s="899" t="s">
        <v>1943</v>
      </c>
      <c r="R70" s="900">
        <v>1386</v>
      </c>
    </row>
    <row r="71" spans="1:18">
      <c r="A71" s="1159"/>
      <c r="B71" s="1218"/>
      <c r="C71" s="955">
        <v>45831</v>
      </c>
      <c r="D71" s="936" t="str">
        <f>'World Cup'!AI23</f>
        <v>Engeland</v>
      </c>
      <c r="E71" s="900" t="str">
        <f>'World Cup'!AJ23</f>
        <v>Ghana</v>
      </c>
      <c r="F71" s="901"/>
      <c r="G71" s="901" t="s">
        <v>1902</v>
      </c>
      <c r="H71" s="902"/>
      <c r="I71" s="1063"/>
      <c r="J71" s="1063"/>
      <c r="K71" s="1158"/>
      <c r="L71" s="906">
        <v>1</v>
      </c>
      <c r="M71" s="893" t="str">
        <f>'World Cup'!AI42</f>
        <v>Engeland</v>
      </c>
      <c r="N71" s="894" t="str">
        <f>'World Cup'!AJ42</f>
        <v xml:space="preserve">   3        0 : 0</v>
      </c>
      <c r="O71" s="1056"/>
      <c r="P71" s="1060">
        <v>69</v>
      </c>
      <c r="Q71" s="899" t="s">
        <v>1756</v>
      </c>
      <c r="R71" s="900">
        <v>1366</v>
      </c>
    </row>
    <row r="72" spans="1:18">
      <c r="A72" s="1159"/>
      <c r="B72" s="1218"/>
      <c r="C72" s="955">
        <v>45832</v>
      </c>
      <c r="D72" s="936" t="str">
        <f>'World Cup'!AI28</f>
        <v>Panama</v>
      </c>
      <c r="E72" s="900" t="str">
        <f>'World Cup'!AJ28</f>
        <v>Kroatië</v>
      </c>
      <c r="F72" s="901"/>
      <c r="G72" s="901" t="s">
        <v>1902</v>
      </c>
      <c r="H72" s="902"/>
      <c r="I72" s="1063"/>
      <c r="J72" s="1063"/>
      <c r="K72" s="1158"/>
      <c r="L72" s="909">
        <v>2</v>
      </c>
      <c r="M72" s="899" t="str">
        <f>'World Cup'!AI43</f>
        <v>Kroatië</v>
      </c>
      <c r="N72" s="900" t="str">
        <f>'World Cup'!AJ43</f>
        <v xml:space="preserve">   3        0 : 0</v>
      </c>
      <c r="O72" s="1056"/>
      <c r="P72" s="1060">
        <v>74</v>
      </c>
      <c r="Q72" s="899" t="s">
        <v>436</v>
      </c>
      <c r="R72" s="900">
        <v>1346</v>
      </c>
    </row>
    <row r="73" spans="1:18">
      <c r="A73" s="1159"/>
      <c r="B73" s="1218"/>
      <c r="C73" s="955">
        <v>45835</v>
      </c>
      <c r="D73" s="936" t="str">
        <f>'World Cup'!AI33</f>
        <v>Panama</v>
      </c>
      <c r="E73" s="900" t="str">
        <f>'World Cup'!AJ33</f>
        <v>Engeland</v>
      </c>
      <c r="F73" s="901"/>
      <c r="G73" s="901" t="s">
        <v>1902</v>
      </c>
      <c r="H73" s="902"/>
      <c r="I73" s="1063"/>
      <c r="J73" s="1063"/>
      <c r="K73" s="1158"/>
      <c r="L73" s="909">
        <v>3</v>
      </c>
      <c r="M73" s="899" t="str">
        <f>'World Cup'!AI44</f>
        <v>Panama</v>
      </c>
      <c r="N73" s="900" t="str">
        <f>'World Cup'!AJ44</f>
        <v xml:space="preserve">   3        0 : 0</v>
      </c>
      <c r="O73" s="1056"/>
      <c r="P73" s="1060">
        <v>82</v>
      </c>
      <c r="Q73" s="899" t="s">
        <v>1757</v>
      </c>
      <c r="R73" s="900">
        <v>1294</v>
      </c>
    </row>
    <row r="74" spans="1:18">
      <c r="A74" s="1159"/>
      <c r="B74" s="1219"/>
      <c r="C74" s="956">
        <v>45835</v>
      </c>
      <c r="D74" s="941" t="str">
        <f>'World Cup'!AI38</f>
        <v>Kroatië</v>
      </c>
      <c r="E74" s="915" t="str">
        <f>'World Cup'!AJ38</f>
        <v>Ghana</v>
      </c>
      <c r="F74" s="916"/>
      <c r="G74" s="916" t="s">
        <v>1902</v>
      </c>
      <c r="H74" s="917"/>
      <c r="I74" s="1063"/>
      <c r="J74" s="1063"/>
      <c r="K74" s="1158"/>
      <c r="L74" s="918">
        <v>4</v>
      </c>
      <c r="M74" s="914" t="str">
        <f>'World Cup'!AI45</f>
        <v>Ghana</v>
      </c>
      <c r="N74" s="915" t="str">
        <f>'World Cup'!AJ45</f>
        <v xml:space="preserve">   3        0 : 0</v>
      </c>
      <c r="O74" s="1056"/>
      <c r="P74" s="1060">
        <v>83</v>
      </c>
      <c r="Q74" s="899" t="s">
        <v>1759</v>
      </c>
      <c r="R74" s="900">
        <v>1291</v>
      </c>
    </row>
    <row r="75" spans="1:18">
      <c r="A75" s="1247" t="s">
        <v>2031</v>
      </c>
      <c r="B75" s="1248"/>
      <c r="C75" s="957"/>
      <c r="D75" s="957" t="s">
        <v>899</v>
      </c>
      <c r="E75" s="957"/>
      <c r="F75" s="958" t="s">
        <v>2034</v>
      </c>
      <c r="G75" s="958"/>
      <c r="H75" s="959"/>
      <c r="I75" s="1063"/>
      <c r="J75" s="1063"/>
      <c r="K75" s="960" t="s">
        <v>2033</v>
      </c>
      <c r="L75" s="1236" t="s">
        <v>1936</v>
      </c>
      <c r="M75" s="1237"/>
      <c r="N75" s="1238"/>
      <c r="O75" s="1054"/>
      <c r="P75" s="1062">
        <v>85</v>
      </c>
      <c r="Q75" s="914" t="s">
        <v>1761</v>
      </c>
      <c r="R75" s="915">
        <v>1281</v>
      </c>
    </row>
    <row r="76" spans="1:18">
      <c r="A76" s="961">
        <v>73</v>
      </c>
      <c r="B76" s="1255"/>
      <c r="C76" s="962">
        <v>45836</v>
      </c>
      <c r="D76" s="963" t="str">
        <f>IF(COUNT(F3:H8)&lt;12,"Tweede groep A",'World Cup'!H50)</f>
        <v>Tweede groep A</v>
      </c>
      <c r="E76" s="964" t="str">
        <f>IF(COUNT(F9:H14)&lt;12,"Tweede groep B",'World Cup'!I50)</f>
        <v>Tweede groep B</v>
      </c>
      <c r="F76" s="965"/>
      <c r="G76" s="966" t="s">
        <v>1902</v>
      </c>
      <c r="H76" s="967"/>
      <c r="I76" s="1063"/>
      <c r="J76" s="1063"/>
      <c r="K76" s="906">
        <v>73</v>
      </c>
      <c r="L76" s="968" t="str">
        <f t="shared" ref="L76:L91" si="0">IF(F76&gt;H76,D76,IF(H76&gt;F76,E76,IF(F76="","winnaar"&amp;K76,IF(F76=H76,"kies winnaar&gt;"))))</f>
        <v>winnaar73</v>
      </c>
      <c r="M76" s="969"/>
      <c r="N76" s="894"/>
      <c r="O76" s="1056"/>
      <c r="P76" s="951"/>
      <c r="Q76" s="951"/>
      <c r="R76" s="1160"/>
    </row>
    <row r="77" spans="1:18">
      <c r="A77" s="970">
        <v>74</v>
      </c>
      <c r="B77" s="1256"/>
      <c r="C77" s="971">
        <v>45837</v>
      </c>
      <c r="D77" s="972" t="str">
        <f>IF(COUNT(F27:H33)&lt;12,"Ëerste groep E",'World Cup'!B50)</f>
        <v>Ëerste groep E</v>
      </c>
      <c r="E77" s="973" t="str">
        <f>IF(COUNT(F3:H74)&lt;144,"Derde A/B/C/D/F",'World Cup'!C50)</f>
        <v>Derde A/B/C/D/F</v>
      </c>
      <c r="F77" s="974"/>
      <c r="G77" s="975" t="s">
        <v>1902</v>
      </c>
      <c r="H77" s="976"/>
      <c r="I77" s="1063"/>
      <c r="J77" s="1063"/>
      <c r="K77" s="909">
        <v>74</v>
      </c>
      <c r="L77" s="968" t="str">
        <f t="shared" si="0"/>
        <v>winnaar74</v>
      </c>
      <c r="M77" s="969"/>
      <c r="N77" s="900"/>
      <c r="O77" s="1056"/>
      <c r="P77" s="951"/>
      <c r="Q77" s="951"/>
      <c r="R77" s="1160"/>
    </row>
    <row r="78" spans="1:18">
      <c r="A78" s="970">
        <v>75</v>
      </c>
      <c r="B78" s="1256"/>
      <c r="C78" s="971">
        <v>45838</v>
      </c>
      <c r="D78" s="972" t="str">
        <f>IF(COUNT(F33:H38)&lt;12,"Ëerste groep F",'World Cup'!K50)</f>
        <v>Ëerste groep F</v>
      </c>
      <c r="E78" s="911" t="str">
        <f>IF(COUNT(F15:H20)&lt;12,"Tweede groep C",'World Cup'!L50)</f>
        <v>Tweede groep C</v>
      </c>
      <c r="F78" s="1095"/>
      <c r="G78" s="975" t="s">
        <v>1902</v>
      </c>
      <c r="H78" s="902"/>
      <c r="I78" s="1063"/>
      <c r="J78" s="1063"/>
      <c r="K78" s="909">
        <v>75</v>
      </c>
      <c r="L78" s="968" t="str">
        <f t="shared" si="0"/>
        <v>winnaar75</v>
      </c>
      <c r="M78" s="969"/>
      <c r="N78" s="900"/>
      <c r="O78" s="1056"/>
      <c r="P78" s="951"/>
      <c r="Q78" s="951"/>
      <c r="R78" s="1160"/>
    </row>
    <row r="79" spans="1:18">
      <c r="A79" s="970">
        <v>76</v>
      </c>
      <c r="B79" s="1256"/>
      <c r="C79" s="971">
        <v>45837</v>
      </c>
      <c r="D79" s="972" t="str">
        <f>IF(COUNT(F15:H20)&lt;12,"Eerste groep C",'World Cup'!Z50)</f>
        <v>Eerste groep C</v>
      </c>
      <c r="E79" s="911" t="str">
        <f>IF(COUNT(F33:H38)&lt;12,"Tweede groep F",'World Cup'!AA50)</f>
        <v>Tweede groep F</v>
      </c>
      <c r="F79" s="974"/>
      <c r="G79" s="975" t="s">
        <v>1902</v>
      </c>
      <c r="H79" s="902"/>
      <c r="I79" s="1063"/>
      <c r="J79" s="1063"/>
      <c r="K79" s="909">
        <v>76</v>
      </c>
      <c r="L79" s="968" t="str">
        <f t="shared" si="0"/>
        <v>winnaar76</v>
      </c>
      <c r="M79" s="969"/>
      <c r="N79" s="900"/>
      <c r="O79" s="1056"/>
      <c r="P79" s="951"/>
      <c r="Q79" s="951"/>
      <c r="R79" s="1160"/>
    </row>
    <row r="80" spans="1:18">
      <c r="A80" s="970">
        <v>77</v>
      </c>
      <c r="B80" s="1256"/>
      <c r="C80" s="971">
        <v>45838</v>
      </c>
      <c r="D80" s="972" t="str">
        <f>IF(COUNT(F51:H56)&lt;12,"Eerste groep I",'World Cup'!E50)</f>
        <v>Eerste groep I</v>
      </c>
      <c r="E80" s="973" t="str">
        <f>IF(COUNT(F3:H74)&lt;144,"Derde C/D/F/G/H",'World Cup'!F50)</f>
        <v>Derde C/D/F/G/H</v>
      </c>
      <c r="F80" s="980"/>
      <c r="G80" s="981" t="s">
        <v>1902</v>
      </c>
      <c r="H80" s="982"/>
      <c r="I80" s="1063"/>
      <c r="J80" s="1063"/>
      <c r="K80" s="909">
        <v>77</v>
      </c>
      <c r="L80" s="968" t="str">
        <f t="shared" si="0"/>
        <v>winnaar77</v>
      </c>
      <c r="M80" s="969"/>
      <c r="N80" s="900"/>
      <c r="O80" s="1056"/>
      <c r="P80" s="951"/>
      <c r="Q80" s="951"/>
      <c r="R80" s="1160"/>
    </row>
    <row r="81" spans="1:18">
      <c r="A81" s="970">
        <v>78</v>
      </c>
      <c r="B81" s="1256"/>
      <c r="C81" s="971">
        <v>45838</v>
      </c>
      <c r="D81" s="972" t="str">
        <f>IF(COUNT(F27:H32)&lt;12,"Tweede groep E",'World Cup'!AC50)</f>
        <v>Tweede groep E</v>
      </c>
      <c r="E81" s="977" t="str">
        <f>IF(COUNT(F51:H56)&lt;12,"Tweede groep I",'World Cup'!AD50)</f>
        <v>Tweede groep I</v>
      </c>
      <c r="F81" s="974"/>
      <c r="G81" s="975" t="s">
        <v>1902</v>
      </c>
      <c r="H81" s="976"/>
      <c r="I81" s="1063"/>
      <c r="J81" s="1063"/>
      <c r="K81" s="909">
        <v>78</v>
      </c>
      <c r="L81" s="968" t="str">
        <f t="shared" si="0"/>
        <v>winnaar78</v>
      </c>
      <c r="M81" s="969"/>
      <c r="N81" s="900"/>
      <c r="O81" s="1056"/>
      <c r="P81" s="951"/>
      <c r="Q81" s="951"/>
      <c r="R81" s="1160"/>
    </row>
    <row r="82" spans="1:18">
      <c r="A82" s="970">
        <v>79</v>
      </c>
      <c r="B82" s="1256"/>
      <c r="C82" s="971">
        <v>45839</v>
      </c>
      <c r="D82" s="972" t="str">
        <f>IF(COUNT(F3:H8)&lt;12,"Eerste groep A",'World Cup'!AF50)</f>
        <v>Eerste groep A</v>
      </c>
      <c r="E82" s="973" t="str">
        <f>IF(COUNT(F3:H74)&lt;144,"Derde C/E/F/H/i",'World Cup'!AG50)</f>
        <v>Derde C/E/F/H/i</v>
      </c>
      <c r="F82" s="974"/>
      <c r="G82" s="975" t="s">
        <v>1902</v>
      </c>
      <c r="H82" s="902"/>
      <c r="I82" s="1063"/>
      <c r="J82" s="1063"/>
      <c r="K82" s="909">
        <v>79</v>
      </c>
      <c r="L82" s="968" t="str">
        <f t="shared" si="0"/>
        <v>winnaar79</v>
      </c>
      <c r="M82" s="969"/>
      <c r="N82" s="900"/>
      <c r="O82" s="1056"/>
      <c r="P82" s="951"/>
      <c r="Q82" s="951"/>
      <c r="R82" s="1160"/>
    </row>
    <row r="83" spans="1:18">
      <c r="A83" s="970">
        <v>80</v>
      </c>
      <c r="B83" s="1256"/>
      <c r="C83" s="971">
        <v>45839</v>
      </c>
      <c r="D83" s="972" t="str">
        <f>IF(COUNT(F69:H74)&lt;12,"Eerste groep L",'World Cup'!AI50)</f>
        <v>Eerste groep L</v>
      </c>
      <c r="E83" s="973" t="str">
        <f>IF(COUNT(F3:H74)&lt;144,"Derde E/H/I/J/K",'World Cup'!AJ50)</f>
        <v>Derde E/H/I/J/K</v>
      </c>
      <c r="F83" s="974"/>
      <c r="G83" s="975" t="s">
        <v>1902</v>
      </c>
      <c r="H83" s="902"/>
      <c r="I83" s="1063"/>
      <c r="J83" s="1063"/>
      <c r="K83" s="909">
        <v>80</v>
      </c>
      <c r="L83" s="968" t="str">
        <f t="shared" si="0"/>
        <v>winnaar80</v>
      </c>
      <c r="M83" s="969"/>
      <c r="N83" s="900"/>
      <c r="O83" s="1056"/>
      <c r="P83" s="951"/>
      <c r="Q83" s="951"/>
      <c r="R83" s="1160"/>
    </row>
    <row r="84" spans="1:18">
      <c r="A84" s="970">
        <v>81</v>
      </c>
      <c r="B84" s="1256"/>
      <c r="C84" s="971">
        <v>45840</v>
      </c>
      <c r="D84" 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winnaar81</v>
      </c>
      <c r="M84" s="969"/>
      <c r="N84" s="900"/>
      <c r="O84" s="1056"/>
      <c r="P84" s="951"/>
      <c r="Q84" s="951"/>
      <c r="R84" s="1161"/>
    </row>
    <row r="85" spans="1:18">
      <c r="A85" s="970">
        <v>82</v>
      </c>
      <c r="B85" s="1256"/>
      <c r="C85" s="978">
        <v>45839</v>
      </c>
      <c r="D85" s="979" t="str">
        <f>IF(COUNT(F39:H44)&lt;12,"Eerste groep G",'World Cup'!W50)</f>
        <v>Eerste groep G</v>
      </c>
      <c r="E85" s="973" t="str">
        <f>IF(COUNT(F3:H74)&lt;144,"Derde A/E/H/I/J",'World Cup'!X50)</f>
        <v>Derde A/E/H/I/J</v>
      </c>
      <c r="F85" s="974"/>
      <c r="G85" s="975" t="s">
        <v>1902</v>
      </c>
      <c r="H85" s="976"/>
      <c r="I85" s="1063"/>
      <c r="J85" s="1063"/>
      <c r="K85" s="909">
        <v>82</v>
      </c>
      <c r="L85" s="968" t="str">
        <f t="shared" si="0"/>
        <v>winnaar82</v>
      </c>
      <c r="M85" s="969"/>
      <c r="N85" s="900"/>
      <c r="O85" s="1056"/>
      <c r="P85" s="951"/>
      <c r="Q85" s="951"/>
      <c r="R85" s="1161"/>
    </row>
    <row r="86" spans="1:18">
      <c r="A86" s="970">
        <v>83</v>
      </c>
      <c r="B86" s="1256"/>
      <c r="C86" s="971">
        <v>45841</v>
      </c>
      <c r="D86" s="972" t="str">
        <f>IF(COUNT(F63:H68)&lt;12,"Tweede groep K",'World Cup'!N50)</f>
        <v>Tweede groep K</v>
      </c>
      <c r="E86" s="911" t="str">
        <f>IF(COUNT(F69:H75)&lt;12,"Tweede groep L",'World Cup'!O50)</f>
        <v>Tweede groep L</v>
      </c>
      <c r="F86" s="974"/>
      <c r="G86" s="975" t="s">
        <v>1902</v>
      </c>
      <c r="H86" s="902"/>
      <c r="I86" s="1063"/>
      <c r="J86" s="1063"/>
      <c r="K86" s="909">
        <v>83</v>
      </c>
      <c r="L86" s="968" t="str">
        <f t="shared" si="0"/>
        <v>winnaar83</v>
      </c>
      <c r="M86" s="969"/>
      <c r="N86" s="900"/>
      <c r="O86" s="1056"/>
      <c r="P86" s="951"/>
      <c r="Q86" s="951"/>
      <c r="R86" s="1161"/>
    </row>
    <row r="87" spans="1:18">
      <c r="A87" s="970">
        <v>84</v>
      </c>
      <c r="B87" s="1256"/>
      <c r="C87" s="971">
        <v>45840</v>
      </c>
      <c r="D87" s="972" t="str">
        <f>IF(COUNT(F45:H50)&lt;12,"Eerste groep H",'World Cup'!Q50)</f>
        <v>Eerste groep H</v>
      </c>
      <c r="E87" s="911" t="str">
        <f>IF(COUNT(F57:H62)&lt;12,"Tweede groep J",'World Cup'!R50)</f>
        <v>Tweede groep J</v>
      </c>
      <c r="F87" s="974"/>
      <c r="G87" s="975" t="s">
        <v>1902</v>
      </c>
      <c r="H87" s="902"/>
      <c r="I87" s="1063"/>
      <c r="J87" s="1063"/>
      <c r="K87" s="909">
        <v>84</v>
      </c>
      <c r="L87" s="968" t="str">
        <f t="shared" si="0"/>
        <v>winnaar84</v>
      </c>
      <c r="M87" s="969"/>
      <c r="N87" s="900"/>
      <c r="O87" s="1056"/>
      <c r="P87" s="951"/>
      <c r="Q87" s="951"/>
      <c r="R87" s="1161"/>
    </row>
    <row r="88" spans="1:18">
      <c r="A88" s="970">
        <v>85</v>
      </c>
      <c r="B88" s="1256"/>
      <c r="C88" s="978">
        <v>45841</v>
      </c>
      <c r="D88" s="979" t="str">
        <f>IF(COUNT(F9:H14)&lt;12,"Ëerste groep B",'World Cup'!AR50)</f>
        <v>Ëerste groep B</v>
      </c>
      <c r="E88" s="973" t="str">
        <f>IF(COUNT(F3:H74)&lt;144,"Derde E/F/G/I/J",'World Cup'!AS50)</f>
        <v>Derde E/F/G/I/J</v>
      </c>
      <c r="F88" s="980"/>
      <c r="G88" s="981" t="s">
        <v>1902</v>
      </c>
      <c r="H88" s="982"/>
      <c r="I88" s="1063"/>
      <c r="J88" s="1063"/>
      <c r="K88" s="909">
        <v>85</v>
      </c>
      <c r="L88" s="968" t="str">
        <f t="shared" si="0"/>
        <v>winnaar85</v>
      </c>
      <c r="M88" s="969"/>
      <c r="N88" s="900"/>
      <c r="O88" s="1056"/>
      <c r="P88" s="951"/>
      <c r="Q88" s="951"/>
      <c r="R88" s="1161"/>
    </row>
    <row r="89" spans="1:18">
      <c r="A89" s="970">
        <v>86</v>
      </c>
      <c r="B89" s="1256"/>
      <c r="C89" s="971">
        <v>45842</v>
      </c>
      <c r="D89" s="972" t="str">
        <f>IF(COUNT(F57:H62)&lt;12,"Ëerste groep J",'World Cup'!AL50)</f>
        <v>Ëerste groep J</v>
      </c>
      <c r="E89" s="983" t="str">
        <f>IF(COUNT(F45:H50)&lt;12,"Tweede groep H",'World Cup'!AM50)</f>
        <v>Tweede groep H</v>
      </c>
      <c r="F89" s="974"/>
      <c r="G89" s="975" t="s">
        <v>1902</v>
      </c>
      <c r="H89" s="976"/>
      <c r="I89" s="1063"/>
      <c r="J89" s="1063"/>
      <c r="K89" s="909">
        <v>86</v>
      </c>
      <c r="L89" s="968" t="str">
        <f t="shared" si="0"/>
        <v>winnaar86</v>
      </c>
      <c r="M89" s="969"/>
      <c r="N89" s="900"/>
      <c r="O89" s="1056"/>
      <c r="P89" s="953"/>
      <c r="Q89" s="951"/>
      <c r="R89" s="1161"/>
    </row>
    <row r="90" spans="1:18">
      <c r="A90" s="970">
        <v>87</v>
      </c>
      <c r="B90" s="1256"/>
      <c r="C90" s="978">
        <v>45842</v>
      </c>
      <c r="D90" s="984" t="str">
        <f>IF(COUNT(F63:H68)&lt;12,"Ëerste groep K",'World Cup'!AU50)</f>
        <v>Ëerste groep K</v>
      </c>
      <c r="E90" s="973" t="str">
        <f>IF(COUNT(F3:H74)&lt;144,"Derde D/E/I/J/L",'World Cup'!AV50)</f>
        <v>Derde D/E/I/J/L</v>
      </c>
      <c r="F90" s="974"/>
      <c r="G90" s="975" t="s">
        <v>1902</v>
      </c>
      <c r="H90" s="902"/>
      <c r="I90" s="1063"/>
      <c r="J90" s="1063"/>
      <c r="K90" s="909">
        <v>87</v>
      </c>
      <c r="L90" s="968" t="str">
        <f t="shared" si="0"/>
        <v>winnaar87</v>
      </c>
      <c r="M90" s="969"/>
      <c r="N90" s="900"/>
      <c r="O90" s="1056"/>
      <c r="P90" s="951"/>
      <c r="Q90" s="953"/>
      <c r="R90" s="1162"/>
    </row>
    <row r="91" spans="1:18">
      <c r="A91" s="985">
        <v>88</v>
      </c>
      <c r="B91" s="1257"/>
      <c r="C91" s="986">
        <v>45841</v>
      </c>
      <c r="D91" s="972" t="str">
        <f>IF(COUNT(F21:H26)&lt;12,"Tweede groep D",'World Cup'!AO50)</f>
        <v>Tweede groep D</v>
      </c>
      <c r="E91" s="911" t="str">
        <f>IF(COUNT(F39:H44)&lt;12,"Tweede groep G",'World Cup'!AP50)</f>
        <v>Tweede groep G</v>
      </c>
      <c r="F91" s="974"/>
      <c r="G91" s="975" t="s">
        <v>1902</v>
      </c>
      <c r="H91" s="902"/>
      <c r="I91" s="1063"/>
      <c r="J91" s="1063"/>
      <c r="K91" s="918">
        <v>88</v>
      </c>
      <c r="L91" s="968" t="str">
        <f t="shared" si="0"/>
        <v>winnaar88</v>
      </c>
      <c r="M91" s="969"/>
      <c r="N91" s="915"/>
      <c r="O91" s="1056"/>
      <c r="P91" s="951"/>
      <c r="Q91" s="951"/>
      <c r="R91" s="1161"/>
    </row>
    <row r="92" spans="1:18">
      <c r="A92" s="1247" t="s">
        <v>2031</v>
      </c>
      <c r="B92" s="1248"/>
      <c r="C92" s="1134"/>
      <c r="D92" s="995" t="s">
        <v>813</v>
      </c>
      <c r="E92" s="994"/>
      <c r="F92" s="1135" t="s">
        <v>2034</v>
      </c>
      <c r="G92" s="1135"/>
      <c r="H92" s="1136"/>
      <c r="I92" s="1063"/>
      <c r="J92" s="1063"/>
      <c r="K92" s="960" t="s">
        <v>2033</v>
      </c>
      <c r="L92" s="1236" t="s">
        <v>1950</v>
      </c>
      <c r="M92" s="1237"/>
      <c r="N92" s="1238"/>
      <c r="O92" s="1054"/>
      <c r="P92" s="951"/>
      <c r="Q92" s="951"/>
      <c r="R92" s="1161"/>
    </row>
    <row r="93" spans="1:18" ht="13.5" customHeight="1">
      <c r="A93" s="1163">
        <v>89</v>
      </c>
      <c r="B93" s="1258"/>
      <c r="C93" s="987">
        <v>45842</v>
      </c>
      <c r="D93" s="988" t="str">
        <f>IF(M77&gt;0,M77,L77)</f>
        <v>winnaar74</v>
      </c>
      <c r="E93" s="989" t="str">
        <f>IF(M80&gt;0,M80,L80)</f>
        <v>winnaar77</v>
      </c>
      <c r="F93" s="990"/>
      <c r="G93" s="991" t="s">
        <v>1902</v>
      </c>
      <c r="H93" s="896"/>
      <c r="I93" s="1063"/>
      <c r="J93" s="1063"/>
      <c r="K93" s="906">
        <v>89</v>
      </c>
      <c r="L93" s="968" t="str">
        <f t="shared" ref="L93:L100" si="1">IF(F93&gt;H93,D93,IF(H93&gt;F93,E93,IF(F93="","winnaar"&amp;K93,IF(F93=H93,"kies winnaar&gt;"))))</f>
        <v>winnaar89</v>
      </c>
      <c r="M93" s="969"/>
      <c r="N93" s="894"/>
      <c r="O93" s="1056"/>
      <c r="P93" s="951"/>
      <c r="Q93" s="951"/>
      <c r="R93" s="1161"/>
    </row>
    <row r="94" spans="1:18">
      <c r="A94" s="1163">
        <v>90</v>
      </c>
      <c r="B94" s="1259"/>
      <c r="C94" s="992">
        <v>45842</v>
      </c>
      <c r="D94" s="969" t="str">
        <f>IF(M76&gt;0,M76,L76)</f>
        <v>winnaar73</v>
      </c>
      <c r="E94" s="947" t="str">
        <f>IF(M78&gt;0,M78,L78)</f>
        <v>winnaar75</v>
      </c>
      <c r="F94" s="974"/>
      <c r="G94" s="975" t="s">
        <v>1902</v>
      </c>
      <c r="H94" s="902"/>
      <c r="I94" s="1063"/>
      <c r="J94" s="1063"/>
      <c r="K94" s="909">
        <v>90</v>
      </c>
      <c r="L94" s="968" t="str">
        <f t="shared" si="1"/>
        <v>winnaar90</v>
      </c>
      <c r="M94" s="969"/>
      <c r="N94" s="900"/>
      <c r="O94" s="1056"/>
      <c r="P94" s="951"/>
      <c r="Q94" s="951"/>
      <c r="R94" s="1161"/>
    </row>
    <row r="95" spans="1:18">
      <c r="A95" s="1163">
        <v>91</v>
      </c>
      <c r="B95" s="1259"/>
      <c r="C95" s="992">
        <v>45843</v>
      </c>
      <c r="D95" s="969" t="str">
        <f>IF(M79&gt;0,M79,L79)</f>
        <v>winnaar76</v>
      </c>
      <c r="E95" s="947" t="str">
        <f>IF(M81&gt;0,M81,L81)</f>
        <v>winnaar78</v>
      </c>
      <c r="F95" s="974"/>
      <c r="G95" s="975" t="s">
        <v>1902</v>
      </c>
      <c r="H95" s="902"/>
      <c r="I95" s="1063"/>
      <c r="J95" s="1063"/>
      <c r="K95" s="909">
        <v>91</v>
      </c>
      <c r="L95" s="968" t="str">
        <f t="shared" si="1"/>
        <v>winnaar91</v>
      </c>
      <c r="M95" s="969"/>
      <c r="N95" s="900"/>
      <c r="O95" s="1056"/>
      <c r="P95" s="951"/>
      <c r="Q95" s="951"/>
      <c r="R95" s="1161"/>
    </row>
    <row r="96" spans="1:18">
      <c r="A96" s="1163">
        <v>92</v>
      </c>
      <c r="B96" s="1259"/>
      <c r="C96" s="992">
        <v>45844</v>
      </c>
      <c r="D96" s="969" t="str">
        <f>IF(M82&gt;0,M82,L82)</f>
        <v>winnaar79</v>
      </c>
      <c r="E96" s="947" t="str">
        <f>IF(M83&gt;0,M83,L83)</f>
        <v>winnaar80</v>
      </c>
      <c r="F96" s="974"/>
      <c r="G96" s="975" t="s">
        <v>1902</v>
      </c>
      <c r="H96" s="902"/>
      <c r="I96" s="1063"/>
      <c r="J96" s="1063"/>
      <c r="K96" s="909">
        <v>92</v>
      </c>
      <c r="L96" s="968" t="str">
        <f t="shared" si="1"/>
        <v>winnaar92</v>
      </c>
      <c r="M96" s="969"/>
      <c r="N96" s="900"/>
      <c r="O96" s="1128"/>
      <c r="P96" s="1127" t="s">
        <v>2032</v>
      </c>
      <c r="Q96" s="1018"/>
      <c r="R96" s="1164"/>
    </row>
    <row r="97" spans="1:18">
      <c r="A97" s="1163">
        <v>93</v>
      </c>
      <c r="B97" s="1259"/>
      <c r="C97" s="992">
        <v>45844</v>
      </c>
      <c r="D97" s="969" t="str">
        <f>IF(M86&gt;0,M86,L86)</f>
        <v>winnaar83</v>
      </c>
      <c r="E97" s="947" t="str">
        <f>IF(M87&gt;0,M7,L87)</f>
        <v>winnaar84</v>
      </c>
      <c r="F97" s="974"/>
      <c r="G97" s="975" t="s">
        <v>1902</v>
      </c>
      <c r="H97" s="902"/>
      <c r="I97" s="1063"/>
      <c r="J97" s="1063"/>
      <c r="K97" s="909">
        <v>93</v>
      </c>
      <c r="L97" s="968" t="str">
        <f t="shared" si="1"/>
        <v>winnaar93</v>
      </c>
      <c r="M97" s="969"/>
      <c r="N97" s="900"/>
      <c r="O97" s="1056"/>
      <c r="P97" s="951"/>
      <c r="Q97" s="951"/>
      <c r="R97" s="1161"/>
    </row>
    <row r="98" spans="1:18">
      <c r="A98" s="1163">
        <v>94</v>
      </c>
      <c r="B98" s="1259"/>
      <c r="C98" s="992">
        <v>45845</v>
      </c>
      <c r="D98" s="969" t="str">
        <f>IF(M84&gt;0,M84,L84)</f>
        <v>winnaar81</v>
      </c>
      <c r="E98" s="947" t="str">
        <f>IF(M85&gt;0,M85,L85)</f>
        <v>winnaar82</v>
      </c>
      <c r="F98" s="974"/>
      <c r="G98" s="975" t="s">
        <v>1902</v>
      </c>
      <c r="H98" s="902"/>
      <c r="I98" s="1063"/>
      <c r="J98" s="1063"/>
      <c r="K98" s="909">
        <v>94</v>
      </c>
      <c r="L98" s="968" t="str">
        <f t="shared" si="1"/>
        <v>winnaar94</v>
      </c>
      <c r="M98" s="969"/>
      <c r="N98" s="900"/>
      <c r="O98" s="1056"/>
      <c r="P98" s="993"/>
      <c r="Q98" s="951"/>
      <c r="R98" s="1161"/>
    </row>
    <row r="99" spans="1:18">
      <c r="A99" s="1163">
        <v>95</v>
      </c>
      <c r="B99" s="1259"/>
      <c r="C99" s="992">
        <v>45845</v>
      </c>
      <c r="D99" s="969" t="str">
        <f>IF(M89&gt;0,M89,L89)</f>
        <v>winnaar86</v>
      </c>
      <c r="E99" s="947" t="str">
        <f>IF(M91&gt;0,M91,L91)</f>
        <v>winnaar88</v>
      </c>
      <c r="F99" s="974"/>
      <c r="G99" s="975" t="s">
        <v>1902</v>
      </c>
      <c r="H99" s="902"/>
      <c r="I99" s="1063"/>
      <c r="J99" s="1063"/>
      <c r="K99" s="909">
        <v>95</v>
      </c>
      <c r="L99" s="968" t="str">
        <f t="shared" si="1"/>
        <v>winnaar95</v>
      </c>
      <c r="M99" s="969"/>
      <c r="N99" s="900"/>
      <c r="O99" s="1056"/>
      <c r="P99" s="951"/>
      <c r="Q99" s="993"/>
      <c r="R99" s="1162"/>
    </row>
    <row r="100" spans="1:18">
      <c r="A100" s="1163">
        <v>96</v>
      </c>
      <c r="B100" s="1260"/>
      <c r="C100" s="992">
        <v>45845</v>
      </c>
      <c r="D100" s="969" t="str">
        <f>IF(M88&gt;0,M88,L88)</f>
        <v>winnaar85</v>
      </c>
      <c r="E100" s="947" t="str">
        <f>IF(M90&gt;0,M90,L90)</f>
        <v>winnaar87</v>
      </c>
      <c r="F100" s="974"/>
      <c r="G100" s="975" t="s">
        <v>1902</v>
      </c>
      <c r="H100" s="902"/>
      <c r="I100" s="1063"/>
      <c r="J100" s="1063"/>
      <c r="K100" s="918">
        <v>96</v>
      </c>
      <c r="L100" s="968" t="str">
        <f t="shared" si="1"/>
        <v>winnaar96</v>
      </c>
      <c r="M100" s="969"/>
      <c r="N100" s="915"/>
      <c r="O100" s="1056"/>
      <c r="P100" s="951"/>
      <c r="Q100" s="951"/>
      <c r="R100" s="1161"/>
    </row>
    <row r="101" spans="1:18">
      <c r="A101" s="1247" t="s">
        <v>2031</v>
      </c>
      <c r="B101" s="1248"/>
      <c r="C101" s="1134"/>
      <c r="D101" s="995" t="s">
        <v>814</v>
      </c>
      <c r="E101" s="996"/>
      <c r="F101" s="1135" t="s">
        <v>2034</v>
      </c>
      <c r="G101" s="1135"/>
      <c r="H101" s="1136"/>
      <c r="I101" s="1063"/>
      <c r="J101" s="1063"/>
      <c r="K101" s="960" t="s">
        <v>2033</v>
      </c>
      <c r="L101" s="1236" t="s">
        <v>1949</v>
      </c>
      <c r="M101" s="1253"/>
      <c r="N101" s="1254"/>
      <c r="O101" s="1057"/>
      <c r="P101" s="951"/>
      <c r="Q101" s="951"/>
      <c r="R101" s="1161"/>
    </row>
    <row r="102" spans="1:18">
      <c r="A102" s="1139">
        <v>97</v>
      </c>
      <c r="B102" s="1261"/>
      <c r="C102" s="997"/>
      <c r="D102" s="969" t="str">
        <f>IF(M93&gt;0,M93,L93)</f>
        <v>winnaar89</v>
      </c>
      <c r="E102" s="947" t="str">
        <f>IF(M94&gt;0,M94,L94)</f>
        <v>winnaar90</v>
      </c>
      <c r="F102" s="998"/>
      <c r="G102" s="999" t="s">
        <v>1902</v>
      </c>
      <c r="H102" s="1000"/>
      <c r="I102" s="1063"/>
      <c r="J102" s="1063"/>
      <c r="K102" s="906">
        <v>97</v>
      </c>
      <c r="L102" s="968" t="str">
        <f>IF(F102&gt;H102,D102,IF(H102&gt;F102,E102,IF(F102="","winnaar"&amp;K102,IF(F102=H102,"kies winnaar&gt;"))))</f>
        <v>winnaar97</v>
      </c>
      <c r="M102" s="969"/>
      <c r="N102" s="894"/>
      <c r="O102" s="1056"/>
      <c r="P102" s="951"/>
      <c r="Q102" s="951"/>
      <c r="R102" s="1161"/>
    </row>
    <row r="103" spans="1:18">
      <c r="A103" s="1140">
        <v>98</v>
      </c>
      <c r="B103" s="1262"/>
      <c r="C103" s="1001"/>
      <c r="D103" s="969" t="str">
        <f>IF(M97&gt;0,M97,L97)</f>
        <v>winnaar93</v>
      </c>
      <c r="E103" s="947" t="str">
        <f>IF(M98&gt;0,M98,L98)</f>
        <v>winnaar94</v>
      </c>
      <c r="F103" s="1002"/>
      <c r="G103" s="1003" t="s">
        <v>1902</v>
      </c>
      <c r="H103" s="1004"/>
      <c r="I103" s="1063"/>
      <c r="J103" s="1063"/>
      <c r="K103" s="909">
        <v>98</v>
      </c>
      <c r="L103" s="968" t="str">
        <f t="shared" ref="L103:L105" si="2">IF(F103&gt;H103,D103,IF(H103&gt;F103,E103,IF(F103="","winnaar"&amp;K103,IF(F103=H103,"kies winnaar&gt;"))))</f>
        <v>winnaar98</v>
      </c>
      <c r="M103" s="969"/>
      <c r="N103" s="900"/>
      <c r="O103" s="1056"/>
      <c r="P103" s="993"/>
      <c r="Q103" s="951"/>
      <c r="R103" s="1161"/>
    </row>
    <row r="104" spans="1:18">
      <c r="A104" s="1140">
        <v>99</v>
      </c>
      <c r="B104" s="1262"/>
      <c r="C104" s="1001"/>
      <c r="D104" s="969" t="str">
        <f>IF(M95&gt;0,M95,L95)</f>
        <v>winnaar91</v>
      </c>
      <c r="E104" s="947" t="str">
        <f>IF(M96&gt;0,M96,L96)</f>
        <v>winnaar92</v>
      </c>
      <c r="F104" s="1002"/>
      <c r="G104" s="1003" t="s">
        <v>1902</v>
      </c>
      <c r="H104" s="1004"/>
      <c r="I104" s="1063"/>
      <c r="J104" s="1063"/>
      <c r="K104" s="909">
        <v>99</v>
      </c>
      <c r="L104" s="968" t="str">
        <f t="shared" si="2"/>
        <v>winnaar99</v>
      </c>
      <c r="M104" s="969"/>
      <c r="N104" s="900"/>
      <c r="O104" s="1056"/>
      <c r="P104" s="951"/>
      <c r="Q104" s="993"/>
      <c r="R104" s="1162"/>
    </row>
    <row r="105" spans="1:18">
      <c r="A105" s="1141">
        <v>100</v>
      </c>
      <c r="B105" s="1263"/>
      <c r="C105" s="1005"/>
      <c r="D105" s="969" t="str">
        <f>IF(M99&gt;0,M99,L99)</f>
        <v>winnaar95</v>
      </c>
      <c r="E105" s="947" t="str">
        <f>IF(M100&gt;0,M100,L100)</f>
        <v>winnaar96</v>
      </c>
      <c r="F105" s="1006"/>
      <c r="G105" s="1007" t="s">
        <v>1902</v>
      </c>
      <c r="H105" s="1008"/>
      <c r="I105" s="1063"/>
      <c r="J105" s="1063"/>
      <c r="K105" s="918">
        <v>100</v>
      </c>
      <c r="L105" s="968" t="str">
        <f t="shared" si="2"/>
        <v>winnaar100</v>
      </c>
      <c r="M105" s="969"/>
      <c r="N105" s="900"/>
      <c r="O105" s="1056"/>
      <c r="P105" s="1165"/>
      <c r="Q105" s="1165"/>
      <c r="R105" s="1161"/>
    </row>
    <row r="106" spans="1:18">
      <c r="A106" s="1247" t="s">
        <v>2031</v>
      </c>
      <c r="B106" s="1248"/>
      <c r="C106" s="1009"/>
      <c r="D106" s="1010" t="s">
        <v>1937</v>
      </c>
      <c r="E106" s="1011"/>
      <c r="F106" s="958" t="s">
        <v>2034</v>
      </c>
      <c r="G106" s="958"/>
      <c r="H106" s="959"/>
      <c r="I106" s="1063"/>
      <c r="J106" s="1063"/>
      <c r="K106" s="960" t="s">
        <v>2033</v>
      </c>
      <c r="L106" s="1236" t="s">
        <v>1951</v>
      </c>
      <c r="M106" s="1237"/>
      <c r="N106" s="1238"/>
      <c r="O106" s="1057"/>
      <c r="P106" s="1017"/>
      <c r="Q106" s="951"/>
      <c r="R106" s="1161"/>
    </row>
    <row r="107" spans="1:18">
      <c r="A107" s="1139">
        <v>101</v>
      </c>
      <c r="B107" s="1012"/>
      <c r="C107" s="997"/>
      <c r="D107" s="1013" t="str">
        <f>IF(M102&gt;0,M102,L102)</f>
        <v>winnaar97</v>
      </c>
      <c r="E107" s="908" t="str">
        <f>IF(M103&gt;0,M103,L103)</f>
        <v>winnaar98</v>
      </c>
      <c r="F107" s="998"/>
      <c r="G107" s="999" t="s">
        <v>1902</v>
      </c>
      <c r="H107" s="1014"/>
      <c r="I107" s="1063"/>
      <c r="J107" s="1063"/>
      <c r="K107" s="906">
        <v>101</v>
      </c>
      <c r="L107" s="968" t="str">
        <f>IF(F107&gt;H107,D107,IF(H107&gt;F107,E107,IF(F107="","winnaar"&amp;K107,IF(F107=H107,"kies winnaar&gt;"))))</f>
        <v>winnaar101</v>
      </c>
      <c r="M107" s="969"/>
      <c r="N107" s="894"/>
      <c r="O107" s="1056"/>
      <c r="P107" s="1165"/>
      <c r="Q107" s="1165"/>
      <c r="R107" s="1166"/>
    </row>
    <row r="108" spans="1:18">
      <c r="A108" s="1141">
        <v>102</v>
      </c>
      <c r="B108" s="1012"/>
      <c r="C108" s="1005"/>
      <c r="D108" s="1015" t="str">
        <f>IF(M104&gt;0,M104,L104)</f>
        <v>winnaar99</v>
      </c>
      <c r="E108" s="923" t="str">
        <f>IF(M105&gt;0,M105,L105)</f>
        <v>winnaar100</v>
      </c>
      <c r="F108" s="1006"/>
      <c r="G108" s="1007" t="s">
        <v>1902</v>
      </c>
      <c r="H108" s="1016"/>
      <c r="I108" s="1063"/>
      <c r="J108" s="1063"/>
      <c r="K108" s="918">
        <v>102</v>
      </c>
      <c r="L108" s="968" t="str">
        <f t="shared" ref="L108" si="3">IF(F108&gt;H108,D108,IF(H108&gt;F108,E108,IF(F108="","winnaar"&amp;K108,IF(F108=H108,"kies winnaar&gt;"))))</f>
        <v>winnaar102</v>
      </c>
      <c r="M108" s="969"/>
      <c r="N108" s="900"/>
      <c r="O108" s="1056"/>
      <c r="P108" s="993"/>
      <c r="Q108" s="951"/>
      <c r="R108" s="1161"/>
    </row>
    <row r="109" spans="1:18">
      <c r="A109" s="1247" t="s">
        <v>2031</v>
      </c>
      <c r="B109" s="1248"/>
      <c r="C109" s="1009"/>
      <c r="D109" s="1010" t="s">
        <v>1938</v>
      </c>
      <c r="E109" s="1011"/>
      <c r="F109" s="958" t="s">
        <v>2034</v>
      </c>
      <c r="G109" s="958"/>
      <c r="H109" s="959"/>
      <c r="I109" s="1063"/>
      <c r="J109" s="1063"/>
      <c r="K109" s="1144" t="s">
        <v>2033</v>
      </c>
      <c r="L109" s="1249" t="s">
        <v>1952</v>
      </c>
      <c r="M109" s="1250"/>
      <c r="N109" s="1251"/>
      <c r="O109" s="1058"/>
      <c r="P109" s="951"/>
      <c r="Q109" s="951"/>
      <c r="R109" s="1167"/>
    </row>
    <row r="110" spans="1:18">
      <c r="A110" s="1142">
        <v>103</v>
      </c>
      <c r="B110" s="1019"/>
      <c r="C110" s="997"/>
      <c r="D110" s="1013" t="str">
        <f>IF(F107&lt;H107,D107,IF(AND(F107=H107,M107=D107),E107,IF(H107&lt;F107,E107,IF(AND(H107=F107,M107=E107),D107,"verliezer"&amp;K107))))</f>
        <v>verliezer101</v>
      </c>
      <c r="E110" s="908" t="str">
        <f>IF(F108&lt;H108,D108,IF(AND(F108=H108,M108=D108),E108,IF(H108&lt;F108,E108,IF(AND(H108=F108,M108=E108),D108,"verliezer"&amp;K108))))</f>
        <v>verliezer102</v>
      </c>
      <c r="F110" s="1023"/>
      <c r="G110" s="1003" t="s">
        <v>1902</v>
      </c>
      <c r="H110" s="1024"/>
      <c r="I110" s="1063"/>
      <c r="J110" s="1063"/>
      <c r="K110" s="1092">
        <v>103</v>
      </c>
      <c r="L110" s="968" t="str">
        <f>IF(F110&gt;H110,D110,IF(H110&gt;F110,E110,IF(F110="","winnaar"&amp;K110,IF(F110=H110,"kies winnaar&gt;"))))</f>
        <v>winnaar103</v>
      </c>
      <c r="M110" s="969"/>
      <c r="N110" s="1025"/>
      <c r="O110" s="1056"/>
      <c r="P110" s="951"/>
      <c r="Q110" s="951"/>
      <c r="R110" s="1161"/>
    </row>
    <row r="111" spans="1:18">
      <c r="A111" s="1247"/>
      <c r="B111" s="1248"/>
      <c r="C111" s="1137"/>
      <c r="D111" s="1010" t="s">
        <v>168</v>
      </c>
      <c r="E111" s="1011"/>
      <c r="F111" s="1135" t="s">
        <v>2034</v>
      </c>
      <c r="G111" s="1135"/>
      <c r="H111" s="1136"/>
      <c r="I111" s="1063"/>
      <c r="J111" s="1063"/>
      <c r="K111" s="960" t="s">
        <v>2033</v>
      </c>
      <c r="L111" s="1252" t="s">
        <v>168</v>
      </c>
      <c r="M111" s="1253"/>
      <c r="N111" s="1254"/>
      <c r="O111" s="1057"/>
      <c r="P111" s="951"/>
      <c r="Q111" s="951"/>
      <c r="R111" s="1161"/>
    </row>
    <row r="112" spans="1:18">
      <c r="A112" s="1143">
        <v>104</v>
      </c>
      <c r="B112" s="1019"/>
      <c r="C112" s="1020"/>
      <c r="D112" s="1021" t="str">
        <f>IF(M107&gt;0,M107,L107)</f>
        <v>winnaar101</v>
      </c>
      <c r="E112" s="1022" t="str">
        <f>IF(M108&gt;0,M108,L108)</f>
        <v>winnaar102</v>
      </c>
      <c r="F112" s="1026"/>
      <c r="G112" s="1007"/>
      <c r="H112" s="1016"/>
      <c r="I112" s="1063"/>
      <c r="J112" s="1063"/>
      <c r="K112" s="1145">
        <v>104</v>
      </c>
      <c r="L112" s="968" t="str">
        <f>IF(F112&gt;H112,D112,IF(H112&gt;F112,E112,IF(F112="","winnaar"&amp;K112,IF(F112=H112,"kies winnaar&gt;"))))</f>
        <v>winnaar104</v>
      </c>
      <c r="M112" s="969"/>
      <c r="N112" s="900"/>
      <c r="O112" s="1056"/>
      <c r="P112" s="951"/>
      <c r="Q112" s="951"/>
      <c r="R112" s="1161"/>
    </row>
    <row r="113" spans="1:18">
      <c r="A113" s="1247"/>
      <c r="B113" s="1248"/>
      <c r="C113" s="1027"/>
      <c r="D113" s="1027"/>
      <c r="E113" s="1028"/>
      <c r="F113" s="1138"/>
      <c r="G113" s="1028"/>
      <c r="H113" s="1029"/>
      <c r="I113" s="1063"/>
      <c r="J113" s="1063"/>
      <c r="K113" s="1030"/>
      <c r="L113" s="1031"/>
      <c r="M113" s="1031"/>
      <c r="N113" s="1032"/>
      <c r="O113" s="1056"/>
      <c r="P113" s="951"/>
      <c r="Q113" s="951"/>
      <c r="R113" s="1161"/>
    </row>
    <row r="114" spans="1:18">
      <c r="A114" s="1168"/>
      <c r="B114" s="952"/>
      <c r="C114" s="951"/>
      <c r="D114" s="1033" t="s">
        <v>1939</v>
      </c>
      <c r="E114" s="905" t="str">
        <f>IF(F112&gt;H112,D112,IF(H112&gt;F112,E112,IF(M112&gt;0,M112,L112)))</f>
        <v>winnaar104</v>
      </c>
      <c r="F114" s="951"/>
      <c r="G114" s="951"/>
      <c r="H114" s="951"/>
      <c r="I114" s="1063"/>
      <c r="J114" s="1063"/>
      <c r="K114" s="951"/>
      <c r="L114" s="951"/>
      <c r="M114" s="951"/>
      <c r="N114" s="951"/>
      <c r="O114" s="951"/>
      <c r="P114" s="951"/>
      <c r="Q114" s="951"/>
      <c r="R114" s="1161"/>
    </row>
    <row r="115" spans="1:18">
      <c r="A115" s="1169"/>
      <c r="B115" s="1170"/>
      <c r="C115" s="1171"/>
      <c r="D115" s="1171"/>
      <c r="E115" s="1171"/>
      <c r="F115" s="1171"/>
      <c r="G115" s="1171"/>
      <c r="H115" s="1171"/>
      <c r="I115" s="1172"/>
      <c r="J115" s="1172"/>
      <c r="K115" s="1171"/>
      <c r="L115" s="1171"/>
      <c r="M115" s="1171"/>
      <c r="N115" s="1171"/>
      <c r="O115" s="1171"/>
      <c r="P115" s="1171"/>
      <c r="Q115" s="1171"/>
      <c r="R115" s="1173"/>
    </row>
    <row r="116" spans="1:18">
      <c r="A116" s="93"/>
      <c r="B116" s="1146"/>
      <c r="C116" s="93"/>
      <c r="D116" s="93"/>
      <c r="E116" s="93"/>
      <c r="F116" s="93"/>
      <c r="G116" s="93"/>
      <c r="H116" s="93"/>
      <c r="I116" s="1147"/>
      <c r="J116" s="1147"/>
      <c r="K116" s="93"/>
      <c r="L116" s="93"/>
      <c r="M116" s="93"/>
      <c r="N116" s="93"/>
      <c r="O116" s="93"/>
      <c r="P116" s="93"/>
      <c r="Q116" s="93"/>
      <c r="R116" s="93"/>
    </row>
    <row r="117" spans="1:18">
      <c r="A117" s="93"/>
      <c r="B117" s="1146"/>
      <c r="C117" s="93"/>
      <c r="D117" s="93"/>
      <c r="E117" s="93"/>
      <c r="F117" s="93"/>
      <c r="G117" s="93"/>
      <c r="H117" s="93"/>
      <c r="I117" s="1147"/>
      <c r="J117" s="1147"/>
      <c r="K117" s="93"/>
      <c r="L117" s="93"/>
      <c r="M117" s="93"/>
      <c r="N117" s="93"/>
      <c r="O117" s="93"/>
      <c r="P117" s="93"/>
      <c r="Q117" s="93"/>
      <c r="R117" s="1146"/>
    </row>
    <row r="118" spans="1:18">
      <c r="A118" s="93"/>
      <c r="B118" s="93"/>
      <c r="C118" s="93"/>
      <c r="D118" s="93"/>
      <c r="E118" s="93"/>
      <c r="F118" s="93"/>
      <c r="G118" s="93"/>
      <c r="H118" s="93"/>
      <c r="I118" s="1147"/>
      <c r="J118" s="1147"/>
      <c r="K118" s="93"/>
      <c r="L118" s="93"/>
      <c r="M118" s="93"/>
      <c r="N118" s="93"/>
      <c r="O118" s="93"/>
      <c r="P118" s="93"/>
      <c r="Q118" s="93"/>
      <c r="R118" s="1146"/>
    </row>
    <row r="119" spans="1:18">
      <c r="A119" s="93"/>
      <c r="B119" s="1146"/>
      <c r="C119" s="93"/>
      <c r="D119" s="93"/>
      <c r="E119" s="93"/>
      <c r="F119" s="93"/>
      <c r="G119" s="93"/>
      <c r="H119" s="93"/>
      <c r="I119" s="1147"/>
      <c r="J119" s="1147"/>
      <c r="K119" s="93"/>
      <c r="L119" s="93"/>
      <c r="M119" s="93"/>
      <c r="N119" s="93"/>
      <c r="O119" s="93"/>
      <c r="P119" s="93"/>
      <c r="Q119" s="93"/>
      <c r="R119" s="1146"/>
    </row>
    <row r="120" spans="1:18">
      <c r="A120" s="93"/>
      <c r="B120" s="1146"/>
      <c r="C120" s="93"/>
      <c r="D120" s="93"/>
      <c r="E120" s="93"/>
      <c r="F120" s="93"/>
      <c r="G120" s="93"/>
      <c r="H120" s="93"/>
      <c r="I120" s="1147"/>
      <c r="J120" s="1147"/>
      <c r="K120" s="93"/>
      <c r="L120" s="93"/>
      <c r="M120" s="93"/>
      <c r="N120" s="93"/>
      <c r="O120" s="93"/>
      <c r="P120" s="93"/>
      <c r="Q120" s="93"/>
      <c r="R120" s="1146"/>
    </row>
    <row r="121" spans="1:18">
      <c r="A121" s="93"/>
      <c r="B121" s="1146"/>
      <c r="C121" s="93"/>
      <c r="D121" s="93"/>
      <c r="E121" s="93"/>
      <c r="F121" s="93"/>
      <c r="G121" s="93"/>
      <c r="H121" s="93"/>
      <c r="I121" s="1147"/>
      <c r="J121" s="1147"/>
      <c r="K121" s="93"/>
      <c r="L121" s="93"/>
      <c r="M121" s="93"/>
      <c r="N121" s="93"/>
      <c r="O121" s="93"/>
      <c r="P121" s="93"/>
      <c r="Q121" s="93"/>
      <c r="R121" s="1146"/>
    </row>
    <row r="122" spans="1:18">
      <c r="A122" s="93"/>
      <c r="B122" s="1146"/>
      <c r="C122" s="93"/>
      <c r="D122" s="93"/>
      <c r="E122" s="93"/>
      <c r="F122" s="93"/>
      <c r="G122" s="93"/>
      <c r="H122" s="93"/>
      <c r="I122" s="1147"/>
      <c r="J122" s="1147"/>
      <c r="K122" s="93"/>
      <c r="L122" s="93"/>
      <c r="M122" s="93"/>
      <c r="N122" s="93"/>
      <c r="O122" s="93"/>
      <c r="P122" s="93"/>
      <c r="Q122" s="93"/>
      <c r="R122" s="1146"/>
    </row>
    <row r="123" spans="1:18">
      <c r="A123" s="93"/>
      <c r="B123" s="1146"/>
      <c r="C123" s="93"/>
      <c r="D123" s="93"/>
      <c r="E123" s="93"/>
      <c r="F123" s="93"/>
      <c r="G123" s="93"/>
      <c r="H123" s="93"/>
      <c r="I123" s="1147"/>
      <c r="J123" s="1147"/>
      <c r="K123" s="93"/>
      <c r="L123" s="93"/>
      <c r="M123" s="93"/>
      <c r="N123" s="93"/>
      <c r="O123" s="93"/>
      <c r="P123" s="93"/>
      <c r="Q123" s="93"/>
      <c r="R123" s="1146"/>
    </row>
    <row r="124" spans="1:18">
      <c r="A124" s="93"/>
      <c r="B124" s="1146"/>
      <c r="C124" s="93"/>
      <c r="D124" s="93"/>
      <c r="E124" s="93"/>
      <c r="F124" s="93"/>
      <c r="G124" s="93"/>
      <c r="H124" s="93"/>
      <c r="I124" s="1147"/>
      <c r="J124" s="1147"/>
      <c r="K124" s="93"/>
      <c r="L124" s="93"/>
      <c r="M124" s="93"/>
      <c r="N124" s="93"/>
      <c r="O124" s="93"/>
      <c r="P124" s="93"/>
      <c r="Q124" s="93"/>
      <c r="R124" s="93"/>
    </row>
    <row r="125" spans="1:18">
      <c r="A125" s="93"/>
      <c r="B125" s="1146"/>
      <c r="C125" s="93"/>
      <c r="D125" s="93"/>
      <c r="E125" s="93"/>
      <c r="F125" s="93"/>
      <c r="G125" s="93"/>
      <c r="H125" s="93"/>
      <c r="I125" s="1147"/>
      <c r="J125" s="1147"/>
      <c r="K125" s="93"/>
      <c r="L125" s="93"/>
      <c r="M125" s="93"/>
      <c r="N125" s="93"/>
      <c r="O125" s="93"/>
      <c r="P125" s="93"/>
      <c r="Q125" s="93"/>
      <c r="R125" s="93"/>
    </row>
  </sheetData>
  <mergeCells count="47">
    <mergeCell ref="A113:B113"/>
    <mergeCell ref="L109:N109"/>
    <mergeCell ref="L111:N111"/>
    <mergeCell ref="L75:N75"/>
    <mergeCell ref="B76:B91"/>
    <mergeCell ref="L92:N92"/>
    <mergeCell ref="B93:B100"/>
    <mergeCell ref="L101:N101"/>
    <mergeCell ref="B102:B105"/>
    <mergeCell ref="A75:B75"/>
    <mergeCell ref="A92:B92"/>
    <mergeCell ref="A101:B101"/>
    <mergeCell ref="A106:B106"/>
    <mergeCell ref="A109:B109"/>
    <mergeCell ref="A111:B111"/>
    <mergeCell ref="B63:B68"/>
    <mergeCell ref="L63:N63"/>
    <mergeCell ref="B69:B74"/>
    <mergeCell ref="L69:N69"/>
    <mergeCell ref="L106:N106"/>
    <mergeCell ref="B21:B26"/>
    <mergeCell ref="L21:N21"/>
    <mergeCell ref="Q20:R20"/>
    <mergeCell ref="B57:B62"/>
    <mergeCell ref="L57:N57"/>
    <mergeCell ref="B51:B56"/>
    <mergeCell ref="L51:N51"/>
    <mergeCell ref="B27:B32"/>
    <mergeCell ref="L27:N27"/>
    <mergeCell ref="P26:R26"/>
    <mergeCell ref="B33:B38"/>
    <mergeCell ref="L33:N33"/>
    <mergeCell ref="B39:B44"/>
    <mergeCell ref="L39:N39"/>
    <mergeCell ref="B45:B50"/>
    <mergeCell ref="L45:N45"/>
    <mergeCell ref="B15:B20"/>
    <mergeCell ref="L15:N15"/>
    <mergeCell ref="P16:R16"/>
    <mergeCell ref="B1:C1"/>
    <mergeCell ref="B3:B8"/>
    <mergeCell ref="L3:N3"/>
    <mergeCell ref="P3:Q3"/>
    <mergeCell ref="B9:B14"/>
    <mergeCell ref="L9:N9"/>
    <mergeCell ref="P17:R18"/>
    <mergeCell ref="P19:R19"/>
  </mergeCells>
  <conditionalFormatting sqref="E76">
    <cfRule type="expression" dxfId="1286" priority="33">
      <formula>AND(#REF!&lt;&gt;"",#REF!&lt;&gt;"",#REF!=#REF!)</formula>
    </cfRule>
  </conditionalFormatting>
  <conditionalFormatting sqref="D76">
    <cfRule type="expression" dxfId="1285" priority="32">
      <formula>AND(#REF!&lt;&gt;"",#REF!&lt;&gt;"",#REF!=#REF!)</formula>
    </cfRule>
  </conditionalFormatting>
  <conditionalFormatting sqref="M77:M91">
    <cfRule type="expression" priority="31" stopIfTrue="1">
      <formula>IF(F77&lt;&gt;"",H77&lt;&gt;"",F77=H77)</formula>
    </cfRule>
  </conditionalFormatting>
  <conditionalFormatting sqref="L107">
    <cfRule type="expression" dxfId="1284" priority="28">
      <formula>AND(F107&lt;&gt;"",H107&lt;&gt;"",F107=H107)</formula>
    </cfRule>
    <cfRule type="expression" dxfId="1283" priority="29">
      <formula>AND(E107&lt;&gt;"",G107&lt;&gt;"",E107=G107)</formula>
    </cfRule>
  </conditionalFormatting>
  <conditionalFormatting sqref="L107">
    <cfRule type="expression" dxfId="1282" priority="30">
      <formula>AND(F107&lt;&gt;"",H107&lt;&gt;"",F107=H107)</formula>
    </cfRule>
  </conditionalFormatting>
  <conditionalFormatting sqref="L76:L91">
    <cfRule type="expression" dxfId="1281" priority="25">
      <formula>AND(F76&lt;&gt;"",H76&lt;&gt;"",F76=H76)</formula>
    </cfRule>
    <cfRule type="expression" dxfId="1280" priority="26">
      <formula>AND(E76&lt;&gt;"",G76&lt;&gt;"",E76=G76)</formula>
    </cfRule>
  </conditionalFormatting>
  <conditionalFormatting sqref="L76:L91">
    <cfRule type="expression" dxfId="1279" priority="27">
      <formula>AND(F76&lt;&gt;"",H76&lt;&gt;"",F76=H76)</formula>
    </cfRule>
  </conditionalFormatting>
  <conditionalFormatting sqref="L93:L100">
    <cfRule type="expression" dxfId="1278" priority="22">
      <formula>AND(F93&lt;&gt;"",H93&lt;&gt;"",F93=H93)</formula>
    </cfRule>
    <cfRule type="expression" dxfId="1277" priority="23">
      <formula>AND(E93&lt;&gt;"",G93&lt;&gt;"",E93=G93)</formula>
    </cfRule>
  </conditionalFormatting>
  <conditionalFormatting sqref="L93:L100">
    <cfRule type="expression" dxfId="1276" priority="24">
      <formula>AND(F93&lt;&gt;"",H93&lt;&gt;"",F93=H93)</formula>
    </cfRule>
  </conditionalFormatting>
  <conditionalFormatting sqref="L102:L105">
    <cfRule type="expression" dxfId="1275" priority="19">
      <formula>AND(F102&lt;&gt;"",H102&lt;&gt;"",F102=H102)</formula>
    </cfRule>
    <cfRule type="expression" dxfId="1274" priority="20">
      <formula>AND(E102&lt;&gt;"",G102&lt;&gt;"",E102=G102)</formula>
    </cfRule>
  </conditionalFormatting>
  <conditionalFormatting sqref="L102:L105">
    <cfRule type="expression" dxfId="1273" priority="21">
      <formula>AND(F102&lt;&gt;"",H102&lt;&gt;"",F102=H102)</formula>
    </cfRule>
  </conditionalFormatting>
  <conditionalFormatting sqref="L109">
    <cfRule type="expression" dxfId="1272" priority="16">
      <formula>AND(F109&lt;&gt;"",H109&lt;&gt;"",F109=H109)</formula>
    </cfRule>
    <cfRule type="expression" dxfId="1271" priority="17">
      <formula>AND(E109&lt;&gt;"",G109&lt;&gt;"",E109=G109)</formula>
    </cfRule>
  </conditionalFormatting>
  <conditionalFormatting sqref="L109">
    <cfRule type="expression" dxfId="1270" priority="18">
      <formula>AND(F109&lt;&gt;"",H109&lt;&gt;"",F109=H109)</formula>
    </cfRule>
  </conditionalFormatting>
  <conditionalFormatting sqref="M76:M91">
    <cfRule type="expression" dxfId="1269" priority="15">
      <formula>AND(F76&lt;&gt;"",H76&lt;&gt;"",F76=H76)</formula>
    </cfRule>
  </conditionalFormatting>
  <conditionalFormatting sqref="M93:M100">
    <cfRule type="expression" dxfId="1268" priority="14">
      <formula>AND(F93&lt;&gt;"",H93&lt;&gt;"",F93=H93)</formula>
    </cfRule>
  </conditionalFormatting>
  <conditionalFormatting sqref="M102:M105">
    <cfRule type="expression" dxfId="1267" priority="13">
      <formula>AND(F102&lt;&gt;"",H102&lt;&gt;"",F102=H102)</formula>
    </cfRule>
  </conditionalFormatting>
  <conditionalFormatting sqref="M107:M108">
    <cfRule type="expression" dxfId="1266" priority="12">
      <formula>AND(F107&lt;&gt;"",H107&lt;&gt;"",F107=H107)</formula>
    </cfRule>
  </conditionalFormatting>
  <conditionalFormatting sqref="L108">
    <cfRule type="expression" dxfId="1265" priority="9">
      <formula>AND(F108&lt;&gt;"",H108&lt;&gt;"",F108=H108)</formula>
    </cfRule>
    <cfRule type="expression" dxfId="1264" priority="10">
      <formula>AND(E108&lt;&gt;"",G108&lt;&gt;"",E108=G108)</formula>
    </cfRule>
  </conditionalFormatting>
  <conditionalFormatting sqref="L108">
    <cfRule type="expression" dxfId="1263" priority="11">
      <formula>AND(F108&lt;&gt;"",H108&lt;&gt;"",F108=H108)</formula>
    </cfRule>
  </conditionalFormatting>
  <conditionalFormatting sqref="L112">
    <cfRule type="expression" dxfId="1262" priority="6">
      <formula>AND(F112&lt;&gt;"",H112&lt;&gt;"",F112=H112)</formula>
    </cfRule>
    <cfRule type="expression" dxfId="1261" priority="7">
      <formula>AND(E112&lt;&gt;"",G112&lt;&gt;"",E112=G112)</formula>
    </cfRule>
  </conditionalFormatting>
  <conditionalFormatting sqref="L112">
    <cfRule type="expression" dxfId="1260" priority="8">
      <formula>AND(F112&lt;&gt;"",H112&lt;&gt;"",F112=H112)</formula>
    </cfRule>
  </conditionalFormatting>
  <conditionalFormatting sqref="M112">
    <cfRule type="expression" dxfId="1259" priority="5">
      <formula>AND(F112&lt;&gt;"",H112&lt;&gt;"",F112=H112)</formula>
    </cfRule>
  </conditionalFormatting>
  <conditionalFormatting sqref="L110">
    <cfRule type="expression" dxfId="1258" priority="2">
      <formula>AND(F110&lt;&gt;"",H110&lt;&gt;"",F110=H110)</formula>
    </cfRule>
    <cfRule type="expression" dxfId="1257" priority="3">
      <formula>AND(E110&lt;&gt;"",G110&lt;&gt;"",E110=G110)</formula>
    </cfRule>
  </conditionalFormatting>
  <conditionalFormatting sqref="L110">
    <cfRule type="expression" dxfId="1256" priority="4">
      <formula>AND(F110&lt;&gt;"",H110&lt;&gt;"",F110=H110)</formula>
    </cfRule>
  </conditionalFormatting>
  <conditionalFormatting sqref="M110">
    <cfRule type="expression" dxfId="1255" priority="1">
      <formula>AND(F110&lt;&gt;"",H110&lt;&gt;"",F110=H110)</formula>
    </cfRule>
  </conditionalFormatting>
  <dataValidations count="1">
    <dataValidation type="list" allowBlank="1" showInputMessage="1" showErrorMessage="1" sqref="M76:M91 M93:M100 M102:M105 M107:M108 M110 M112" xr:uid="{FBBDD1A8-5E8A-43CA-B5B9-D7DF471E8D06}">
      <formula1>D76:E76</formula1>
    </dataValidation>
  </dataValidations>
  <pageMargins left="0.23622047244094491" right="0.23622047244094491" top="0.74803149606299213" bottom="0.74803149606299213" header="0.31496062992125984" footer="0.31496062992125984"/>
  <pageSetup paperSize="8" orientation="portrait" horizontalDpi="4294967293" verticalDpi="0" r:id="rId1"/>
  <ignoredErrors>
    <ignoredError sqref="D94 D97:E97 D103:D104 E103:E104"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Mexico</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985</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Zuid-Afrika</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60</v>
      </c>
      <c r="R6" s="813">
        <f t="shared" ref="R6:R8" si="3">(1000-Q6)*($L$9&gt;0)</f>
        <v>940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Zuid-Korea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25</v>
      </c>
      <c r="R7" s="813">
        <f t="shared" si="3"/>
        <v>975</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Tsjechië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41</v>
      </c>
      <c r="R8" s="813">
        <f t="shared" si="3"/>
        <v>959</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Mexico</v>
      </c>
      <c r="BF13" s="693" t="str">
        <v>Zuid-Korea</v>
      </c>
      <c r="BG13" s="693" t="str">
        <v>Tsjechië</v>
      </c>
      <c r="BH13" s="694" t="str">
        <v>Zuid-Afrika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Mexico</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Zuid-Afrika</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Zuid-Korea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Zuid-Korea</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Tsjechië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Tsjechië</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Zuid-Afrika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Mexico</v>
      </c>
      <c r="I21" s="722" t="str">
        <v>Zuid-Korea</v>
      </c>
      <c r="J21" s="722" t="str">
        <v>Tsjechië</v>
      </c>
      <c r="K21" s="723" t="str">
        <v>Zuid-Afrika</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Mexico</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15</v>
      </c>
      <c r="O22" s="732" t="s">
        <v>26</v>
      </c>
      <c r="P22" s="768" t="str">
        <f>INDEX('World Cup'!$B$13:$AJ$38,1,1+(CODE($B$1)-65)*3)</f>
        <v>Mexico</v>
      </c>
      <c r="Q22" s="769" t="str">
        <f>INDEX('World Cup'!$B$13:$AJ$38,1,2+(CODE($B$1)-65)*3)</f>
        <v>Zuid-Afrika</v>
      </c>
      <c r="R22" s="769">
        <f>IF(OR(INDEX('World Cup'!$B$14:$AJ$39,1,1+(CODE($B$1)-65)*3)="",INDEX('World Cup'!$B$14:$AJ$39,1,2+(CODE($B$1)-65)*3)=""),"",INDEX('World Cup'!$B$14:$AJ$39,1,1+(CODE($B$1)-65)*3))</f>
        <v>0</v>
      </c>
      <c r="S22" s="770">
        <f>IF(OR(INDEX('World Cup'!$B$14:$AJ$39,1,1+(CODE($B$1)-65)*3)="",INDEX('World Cup'!$B$14:$AJ$39,1,2+(CODE($B$1)-65)*3)=""),"",INDEX('World Cup'!$B$14:$AJ$39,1,2+(CODE($B$1)-65)*3))</f>
        <v>0</v>
      </c>
      <c r="T22" s="734">
        <f t="shared" ref="T22:T27" si="28">IF(AND(P22&lt;&gt;"",Q22&lt;&gt;"",P22&lt;&gt;Q22,R22&lt;&gt;"",S22&lt;&gt;""),1,0)</f>
        <v>1</v>
      </c>
      <c r="U22" s="735">
        <f t="shared" ref="U22:U27" si="29">IF($T22=0,0,IF($R22&gt;$S22,3,IF($R22=$S22,1,0)))</f>
        <v>1</v>
      </c>
      <c r="V22" s="736">
        <f t="shared" ref="V22:V27" si="30">IF($T22=0,0,IF($R22&lt;$S22,3,IF($R22=$S22,1,0)))</f>
        <v>1</v>
      </c>
      <c r="W22" s="737">
        <f t="shared" ref="W22:W27" si="31">IF(OR(R22="",S22=""),0,R22-S22)</f>
        <v>0</v>
      </c>
      <c r="X22" s="738">
        <f t="shared" ref="X22:X27" si="32">IF(OR(R22="",S22=""),0,R22)</f>
        <v>0</v>
      </c>
      <c r="Y22" s="739">
        <f t="shared" ref="Y22:Y27" si="33">IF(OR(R22="",S22=""),0,S22)</f>
        <v>0</v>
      </c>
      <c r="Z22" s="740" t="str">
        <f t="shared" ref="Z22:Z27" si="34">P22&amp;Q22</f>
        <v>MexicoZuid-Afrika</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Zuid-Korea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25</v>
      </c>
      <c r="O23" s="744" t="s">
        <v>27</v>
      </c>
      <c r="P23" s="771" t="str">
        <f>INDEX('World Cup'!$B$13:$AJ$38,6,1+(CODE($B$1)-65)*3)</f>
        <v>Zuid-Korea</v>
      </c>
      <c r="Q23" s="772" t="str">
        <f>INDEX('World Cup'!$B$13:$AJ$38,6,2+(CODE($B$1)-65)*3)</f>
        <v>Tsjechië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Zuid-KoreaTsjechië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Tsjechië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41</v>
      </c>
      <c r="O24" s="744" t="s">
        <v>28</v>
      </c>
      <c r="P24" s="771" t="str">
        <f>INDEX('World Cup'!$B$13:$AJ$38,11,1+(CODE($B$1)-65)*3)</f>
        <v>Tsjechië</v>
      </c>
      <c r="Q24" s="772" t="str">
        <f>INDEX('World Cup'!$B$13:$AJ$38,11,2+(CODE($B$1)-65)*3)</f>
        <v>Zuid-Afrika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TsjechiëZuid-Afrika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Zuid-Afrika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60</v>
      </c>
      <c r="O25" s="744" t="s">
        <v>29</v>
      </c>
      <c r="P25" s="771" t="str">
        <f>INDEX('World Cup'!$B$13:$AJ$38,16,1+(CODE($B$1)-65)*3)</f>
        <v>Mexico</v>
      </c>
      <c r="Q25" s="772" t="str">
        <f>INDEX('World Cup'!$B$13:$AJ$38,16,2+(CODE($B$1)-65)*3)</f>
        <v>Zuid-Korea</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MexicoZuid-Korea</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Tsjechië</v>
      </c>
      <c r="Q26" s="772" t="str">
        <f>INDEX('World Cup'!$B$13:$AJ$38,21,2+(CODE($B$1)-65)*3)</f>
        <v>Mexico</v>
      </c>
      <c r="R26" s="772">
        <f>IF(OR(INDEX('World Cup'!$B$14:$AJ$39,21,1+(CODE($B$1)-65)*3)="",INDEX('World Cup'!$B$14:$AJ$39,21,2+(CODE($B$1)-65)*3)=""),"",INDEX('World Cup'!$B$14:$AJ$39,21,1+(CODE($B$1)-65)*3))</f>
        <v>0</v>
      </c>
      <c r="S26" s="773">
        <f>IF(OR(INDEX('World Cup'!$B$14:$AJ$39,21,1+(CODE($B$1)-65)*3)="",INDEX('World Cup'!$B$14:$AJ$39,21,2+(CODE($B$1)-65)*3)=""),"",INDEX('World Cup'!$B$14:$AJ$39,21,2+(CODE($B$1)-65)*3))</f>
        <v>0</v>
      </c>
      <c r="T26" s="664">
        <f t="shared" si="28"/>
        <v>1</v>
      </c>
      <c r="U26" s="746">
        <f t="shared" si="29"/>
        <v>1</v>
      </c>
      <c r="V26" s="664">
        <f t="shared" si="30"/>
        <v>1</v>
      </c>
      <c r="W26" s="747">
        <f t="shared" si="31"/>
        <v>0</v>
      </c>
      <c r="X26" s="748">
        <f t="shared" si="32"/>
        <v>0</v>
      </c>
      <c r="Y26" s="749">
        <f t="shared" si="33"/>
        <v>0</v>
      </c>
      <c r="Z26" s="750" t="str">
        <f t="shared" si="34"/>
        <v>TsjechiëMexico</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Zuid-Afrika</v>
      </c>
      <c r="Q27" s="775" t="str">
        <f>INDEX('World Cup'!$B$13:$AJ$38,26,2+(CODE($B$1)-65)*3)</f>
        <v>Zuid-Korea</v>
      </c>
      <c r="R27" s="775">
        <f>IF(OR(INDEX('World Cup'!$B$14:$AJ$39,26,1+(CODE($B$1)-65)*3)="",INDEX('World Cup'!$B$14:$AJ$39,26,2+(CODE($B$1)-65)*3)=""),"",INDEX('World Cup'!$B$14:$AJ$39,26,1+(CODE($B$1)-65)*3))</f>
        <v>0</v>
      </c>
      <c r="S27" s="776">
        <f>IF(OR(INDEX('World Cup'!$B$14:$AJ$39,26,1+(CODE($B$1)-65)*3)="",INDEX('World Cup'!$B$14:$AJ$39,26,2+(CODE($B$1)-65)*3)=""),"",INDEX('World Cup'!$B$14:$AJ$39,26,2+(CODE($B$1)-65)*3))</f>
        <v>0</v>
      </c>
      <c r="T27" s="756">
        <f t="shared" si="28"/>
        <v>1</v>
      </c>
      <c r="U27" s="757">
        <f t="shared" si="29"/>
        <v>1</v>
      </c>
      <c r="V27" s="756">
        <f t="shared" si="30"/>
        <v>1</v>
      </c>
      <c r="W27" s="758">
        <f t="shared" si="31"/>
        <v>0</v>
      </c>
      <c r="X27" s="759">
        <f t="shared" si="32"/>
        <v>0</v>
      </c>
      <c r="Y27" s="760">
        <f t="shared" si="33"/>
        <v>0</v>
      </c>
      <c r="Z27" s="761" t="str">
        <f t="shared" si="34"/>
        <v>Zuid-AfrikaZuid-Korea</v>
      </c>
      <c r="AA27" s="762" t="str">
        <f>IF($T27,$X27&amp;Language!$E$197&amp;$Y27,"")</f>
        <v>0 : 0</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2">Q22&amp;P22</f>
        <v>Zuid-AfrikaMexico</v>
      </c>
      <c r="AA28" s="751" t="str">
        <f>IF($T22,$Y22&amp;Language!$E$197&amp;$X22,"")</f>
        <v>0 : 0</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2"/>
        <v>TsjechiëZuid-Korea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2"/>
        <v>Zuid-AfrikaTsjechië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2"/>
        <v>Zuid-KoreaMexico</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2"/>
        <v>MexicoTsjechië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2"/>
        <v>Zuid-KoreaZuid-Afrika</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election activeCell="AE36" sqref="AD36:AE36"/>
    </sheetView>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20</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Canada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30</v>
      </c>
      <c r="R5" s="813">
        <f>(1000-Q5)*($L$9&gt;0)</f>
        <v>970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4</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Bosnië/Herz.</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65</v>
      </c>
      <c r="R6" s="813">
        <f t="shared" ref="R6:R8" si="3">(1000-Q6)*($L$9&gt;0)</f>
        <v>935</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1</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Qatar</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55</v>
      </c>
      <c r="R7" s="813">
        <f t="shared" si="3"/>
        <v>945</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Zwitserland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981</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Zwitserland</v>
      </c>
      <c r="BF13" s="693" t="str">
        <v>Canada</v>
      </c>
      <c r="BG13" s="693" t="str">
        <v>Qatar</v>
      </c>
      <c r="BH13" s="694" t="str">
        <v>Bosnië/Herz.</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Canada</v>
      </c>
      <c r="E14" s="674">
        <f>RANK(F14,$F$14:$F$17,1)</f>
        <v>2</v>
      </c>
      <c r="F14" s="675">
        <f>G14+ROW()/1000+(D14="")*10</f>
        <v>2.0139999999999998</v>
      </c>
      <c r="G14" s="814">
        <f>AS14</f>
        <v>2</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1</v>
      </c>
      <c r="AS14" s="699">
        <f t="shared" ref="AS14:AS17" si="17">AP14+AR14</f>
        <v>2</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2</v>
      </c>
      <c r="AZ14" s="700" t="str">
        <f t="array" ref="AZ14:AZ17">IFERROR(VLOOKUP($BA$5:$BA$8,$C$14:$D$17,2,0),"")</f>
        <v>Zwitserland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Bosnië/Herz.</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Canada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Qatar</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Qatar</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Zwitserland</v>
      </c>
      <c r="E17" s="685">
        <f t="shared" si="19"/>
        <v>1</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1</v>
      </c>
      <c r="AX17" s="686"/>
      <c r="AY17" s="713">
        <f t="shared" si="27"/>
        <v>1</v>
      </c>
      <c r="AZ17" s="702" t="str">
        <v>Bosnië/Herz.</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Zwitserland</v>
      </c>
      <c r="I21" s="722" t="str">
        <v>Canada</v>
      </c>
      <c r="J21" s="722" t="str">
        <v>Qatar</v>
      </c>
      <c r="K21" s="723" t="str">
        <v>Bosnië/Herz.</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Zwitserland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19</v>
      </c>
      <c r="O22" s="732" t="s">
        <v>26</v>
      </c>
      <c r="P22" s="768" t="str">
        <f>INDEX('World Cup'!$B$13:$AJ$38,1,1+(CODE($B$1)-65)*3)</f>
        <v>Canada</v>
      </c>
      <c r="Q22" s="769" t="str">
        <f>INDEX('World Cup'!$B$13:$AJ$38,1,2+(CODE($B$1)-65)*3)</f>
        <v>Bosnië/Herz.</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CanadaBosnië/Herz.</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Canada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30</v>
      </c>
      <c r="O23" s="744" t="s">
        <v>27</v>
      </c>
      <c r="P23" s="771" t="str">
        <f>INDEX('World Cup'!$B$13:$AJ$38,6,1+(CODE($B$1)-65)*3)</f>
        <v>Qatar</v>
      </c>
      <c r="Q23" s="772" t="str">
        <f>INDEX('World Cup'!$B$13:$AJ$38,6,2+(CODE($B$1)-65)*3)</f>
        <v>Zwitserland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QatarZwitserland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Qatar</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55</v>
      </c>
      <c r="O24" s="744" t="s">
        <v>28</v>
      </c>
      <c r="P24" s="771" t="str">
        <f>INDEX('World Cup'!$B$13:$AJ$38,11,1+(CODE($B$1)-65)*3)</f>
        <v>Zwitserland</v>
      </c>
      <c r="Q24" s="772" t="str">
        <f>INDEX('World Cup'!$B$13:$AJ$38,11,2+(CODE($B$1)-65)*3)</f>
        <v>Bosnië/Herz.</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ZwitserlandBosnië/Herz.</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Bosnië/Herz.</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65</v>
      </c>
      <c r="O25" s="744" t="s">
        <v>29</v>
      </c>
      <c r="P25" s="771" t="str">
        <f>INDEX('World Cup'!$B$13:$AJ$38,16,1+(CODE($B$1)-65)*3)</f>
        <v>Canada</v>
      </c>
      <c r="Q25" s="772" t="str">
        <f>INDEX('World Cup'!$B$13:$AJ$38,16,2+(CODE($B$1)-65)*3)</f>
        <v>Qatar</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CanadaQatar</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Zwitserland</v>
      </c>
      <c r="Q26" s="772" t="str">
        <f>INDEX('World Cup'!$B$13:$AJ$38,21,2+(CODE($B$1)-65)*3)</f>
        <v>Canada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ZwitserlandCanada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Bosnië/Herz.</v>
      </c>
      <c r="Q27" s="775" t="str">
        <f>INDEX('World Cup'!$B$13:$AJ$38,26,2+(CODE($B$1)-65)*3)</f>
        <v>Qatar</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Bosnië/Herz.Qatar</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Bosnië/Herz.Canada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ZwitserlandQatar</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Bosnië/Herz.Zwitserland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CanadaZwitserland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QatarBosnië/Herz.</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Brazilië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994</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Marokko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992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Haïti</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83</v>
      </c>
      <c r="R7" s="813">
        <f t="shared" si="3"/>
        <v>917</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Schotland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43</v>
      </c>
      <c r="R8" s="813">
        <f t="shared" si="3"/>
        <v>957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Brazilië</v>
      </c>
      <c r="BF13" s="693" t="str">
        <v>Marokko</v>
      </c>
      <c r="BG13" s="693" t="str">
        <v>Schotland</v>
      </c>
      <c r="BH13" s="694" t="str">
        <v>Haïti</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Brazilië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Brazilië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Marokko</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Marokko</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Haïti</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Schotland</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Schotland</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Haïti</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Brazilië</v>
      </c>
      <c r="I21" s="722" t="str">
        <v>Marokko</v>
      </c>
      <c r="J21" s="722" t="str">
        <v>Schotland</v>
      </c>
      <c r="K21" s="723" t="str">
        <v>Haïti</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Brazilië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6</v>
      </c>
      <c r="O22" s="732" t="s">
        <v>26</v>
      </c>
      <c r="P22" s="768" t="str">
        <f>INDEX('World Cup'!$B$13:$AJ$38,1,1+(CODE($B$1)-65)*3)</f>
        <v>Brazilië</v>
      </c>
      <c r="Q22" s="769" t="str">
        <f>INDEX('World Cup'!$B$13:$AJ$38,1,2+(CODE($B$1)-65)*3)</f>
        <v>Marokko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BraziliëMarokko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Marokko</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8</v>
      </c>
      <c r="O23" s="744" t="s">
        <v>27</v>
      </c>
      <c r="P23" s="771" t="str">
        <f>INDEX('World Cup'!$B$13:$AJ$38,6,1+(CODE($B$1)-65)*3)</f>
        <v>Haïti</v>
      </c>
      <c r="Q23" s="772" t="str">
        <f>INDEX('World Cup'!$B$13:$AJ$38,6,2+(CODE($B$1)-65)*3)</f>
        <v>Schotland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HaïtiSchotland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Schotland</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43</v>
      </c>
      <c r="O24" s="744" t="s">
        <v>28</v>
      </c>
      <c r="P24" s="771" t="str">
        <f>INDEX('World Cup'!$B$13:$AJ$38,11,1+(CODE($B$1)-65)*3)</f>
        <v>Schotland</v>
      </c>
      <c r="Q24" s="772" t="str">
        <f>INDEX('World Cup'!$B$13:$AJ$38,11,2+(CODE($B$1)-65)*3)</f>
        <v>Marokko</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SchotlandMarokko</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Haïti</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83</v>
      </c>
      <c r="O25" s="744" t="s">
        <v>29</v>
      </c>
      <c r="P25" s="771" t="str">
        <f>INDEX('World Cup'!$B$13:$AJ$38,16,1+(CODE($B$1)-65)*3)</f>
        <v>Brazilië</v>
      </c>
      <c r="Q25" s="772" t="str">
        <f>INDEX('World Cup'!$B$13:$AJ$38,16,2+(CODE($B$1)-65)*3)</f>
        <v>Haïti</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BraziliëHaïti</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Schotland</v>
      </c>
      <c r="Q26" s="772" t="str">
        <f>INDEX('World Cup'!$B$13:$AJ$38,21,2+(CODE($B$1)-65)*3)</f>
        <v>Brazilië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SchotlandBrazilië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Marokko</v>
      </c>
      <c r="Q27" s="775" t="str">
        <f>INDEX('World Cup'!$B$13:$AJ$38,26,2+(CODE($B$1)-65)*3)</f>
        <v>Haïti</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MarokkoHaïti</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MarokkoBrazilië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SchotlandHaïti</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MarokkoSchotland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HaïtiBrazilië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BraziliëSchotland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HaïtiMarokko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25</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USA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16</v>
      </c>
      <c r="R5" s="813">
        <f>(1000-Q5)*($L$9&gt;0)</f>
        <v>984</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Paraguay</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40</v>
      </c>
      <c r="R6" s="813">
        <f t="shared" ref="R6:R8" si="3">(1000-Q6)*($L$9&gt;0)</f>
        <v>960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Australië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27</v>
      </c>
      <c r="R7" s="813">
        <f t="shared" si="3"/>
        <v>973</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Turkije</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22</v>
      </c>
      <c r="R8" s="813">
        <f t="shared" si="3"/>
        <v>978</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USA</v>
      </c>
      <c r="BF13" s="693" t="str">
        <v>Turkije</v>
      </c>
      <c r="BG13" s="693" t="str">
        <v>Australië</v>
      </c>
      <c r="BH13" s="694" t="str">
        <v>Paraguay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USA</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Paraguay</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Turkije</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Australië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Australië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Turkije</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Paraguay</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USA</v>
      </c>
      <c r="I21" s="722" t="str">
        <v>Turkije</v>
      </c>
      <c r="J21" s="722" t="str">
        <v>Australië</v>
      </c>
      <c r="K21" s="723" t="str">
        <v>Paraguay</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USA</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16</v>
      </c>
      <c r="O22" s="732" t="s">
        <v>26</v>
      </c>
      <c r="P22" s="768" t="str">
        <f>INDEX('World Cup'!$B$13:$AJ$38,1,1+(CODE($B$1)-65)*3)</f>
        <v>USA</v>
      </c>
      <c r="Q22" s="769" t="str">
        <f>INDEX('World Cup'!$B$13:$AJ$38,1,2+(CODE($B$1)-65)*3)</f>
        <v>Paraguay</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USAParaguay</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Turkije</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22</v>
      </c>
      <c r="O23" s="744" t="s">
        <v>27</v>
      </c>
      <c r="P23" s="771" t="str">
        <f>INDEX('World Cup'!$B$13:$AJ$38,6,1+(CODE($B$1)-65)*3)</f>
        <v>Australië</v>
      </c>
      <c r="Q23" s="772" t="str">
        <f>INDEX('World Cup'!$B$13:$AJ$38,6,2+(CODE($B$1)-65)*3)</f>
        <v>Turkije</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AustraliëTurkije</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Australië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27</v>
      </c>
      <c r="O24" s="744" t="s">
        <v>28</v>
      </c>
      <c r="P24" s="771" t="str">
        <f>INDEX('World Cup'!$B$13:$AJ$38,11,1+(CODE($B$1)-65)*3)</f>
        <v>USA</v>
      </c>
      <c r="Q24" s="772" t="str">
        <f>INDEX('World Cup'!$B$13:$AJ$38,11,2+(CODE($B$1)-65)*3)</f>
        <v>Australië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USAAustralië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Paraguay</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40</v>
      </c>
      <c r="O25" s="744" t="s">
        <v>29</v>
      </c>
      <c r="P25" s="771" t="str">
        <f>INDEX('World Cup'!$B$13:$AJ$38,16,1+(CODE($B$1)-65)*3)</f>
        <v>Turkije</v>
      </c>
      <c r="Q25" s="772" t="str">
        <f>INDEX('World Cup'!$B$13:$AJ$38,16,2+(CODE($B$1)-65)*3)</f>
        <v>Paraguay</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TurkijeParaguay</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Turkije</v>
      </c>
      <c r="Q26" s="772" t="str">
        <f>INDEX('World Cup'!$B$13:$AJ$38,21,2+(CODE($B$1)-65)*3)</f>
        <v>USA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TurkijeUSA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Paraguay</v>
      </c>
      <c r="Q27" s="775" t="str">
        <f>INDEX('World Cup'!$B$13:$AJ$38,26,2+(CODE($B$1)-65)*3)</f>
        <v>Australië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ParaguayAustralië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TurkijeAustralië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AustraliëUSA</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ParaguayTurkije</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USATurkije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AustraliëParaguay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Duitsland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10</v>
      </c>
      <c r="R5" s="813">
        <f>(1000-Q5)*($L$9&gt;0)</f>
        <v>990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Curacao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82</v>
      </c>
      <c r="R6" s="813">
        <f t="shared" ref="R6:R8" si="3">(1000-Q6)*($L$9&gt;0)</f>
        <v>918</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Ivoorkust</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34</v>
      </c>
      <c r="R7" s="813">
        <f t="shared" si="3"/>
        <v>966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Ecuador</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23</v>
      </c>
      <c r="R8" s="813">
        <f t="shared" si="3"/>
        <v>977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Duitsland</v>
      </c>
      <c r="BF13" s="693" t="str">
        <v>Ecuador</v>
      </c>
      <c r="BG13" s="693" t="str">
        <v>Ivoorkust</v>
      </c>
      <c r="BH13" s="694" t="str">
        <v>Curacao</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Duitsland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Duitsland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Curacao</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Ecuador</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Ivoorkust</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Ivoorkust</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Ecuador</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Curacao</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Duitsland</v>
      </c>
      <c r="I21" s="722" t="str">
        <v>Ecuador</v>
      </c>
      <c r="J21" s="722" t="str">
        <v>Ivoorkust</v>
      </c>
      <c r="K21" s="723" t="str">
        <v>Curacao</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Duitsland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10</v>
      </c>
      <c r="O22" s="732" t="s">
        <v>26</v>
      </c>
      <c r="P22" s="768" t="str">
        <f>INDEX('World Cup'!$B$13:$AJ$38,1,1+(CODE($B$1)-65)*3)</f>
        <v>Duitsland</v>
      </c>
      <c r="Q22" s="769" t="str">
        <f>INDEX('World Cup'!$B$13:$AJ$38,1,2+(CODE($B$1)-65)*3)</f>
        <v>Curacao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DuitslandCuracao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Ecuador</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23</v>
      </c>
      <c r="O23" s="744" t="s">
        <v>27</v>
      </c>
      <c r="P23" s="771" t="str">
        <f>INDEX('World Cup'!$B$13:$AJ$38,6,1+(CODE($B$1)-65)*3)</f>
        <v>Ivoorkust</v>
      </c>
      <c r="Q23" s="772" t="str">
        <f>INDEX('World Cup'!$B$13:$AJ$38,6,2+(CODE($B$1)-65)*3)</f>
        <v>Ecuador</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IvoorkustEcuador</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Ivoorkust</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34</v>
      </c>
      <c r="O24" s="744" t="s">
        <v>28</v>
      </c>
      <c r="P24" s="771" t="str">
        <f>INDEX('World Cup'!$B$13:$AJ$38,11,1+(CODE($B$1)-65)*3)</f>
        <v>Duitsland</v>
      </c>
      <c r="Q24" s="772" t="str">
        <f>INDEX('World Cup'!$B$13:$AJ$38,11,2+(CODE($B$1)-65)*3)</f>
        <v>Ivoorkust</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DuitslandIvoorkust</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Curacao</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82</v>
      </c>
      <c r="O25" s="744" t="s">
        <v>29</v>
      </c>
      <c r="P25" s="771" t="str">
        <f>INDEX('World Cup'!$B$13:$AJ$38,16,1+(CODE($B$1)-65)*3)</f>
        <v>Ecuador</v>
      </c>
      <c r="Q25" s="772" t="str">
        <f>INDEX('World Cup'!$B$13:$AJ$38,16,2+(CODE($B$1)-65)*3)</f>
        <v>Curacao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EcuadorCuracao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Curacao</v>
      </c>
      <c r="Q26" s="772" t="str">
        <f>INDEX('World Cup'!$B$13:$AJ$38,21,2+(CODE($B$1)-65)*3)</f>
        <v>Ivoorkust</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CuracaoIvoorkust</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Ecuador</v>
      </c>
      <c r="Q27" s="775" t="str">
        <f>INDEX('World Cup'!$B$13:$AJ$38,26,2+(CODE($B$1)-65)*3)</f>
        <v>Duitsland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EcuadorDuitsland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CuracaoDuitsland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EcuadorIvoorkust</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IvoorkustDuitsland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CuracaoEcuador</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IvoorkustCuracao</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DuitslandEcuador</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Nederland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993</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Japan</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982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Zweden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38</v>
      </c>
      <c r="R7" s="813">
        <f t="shared" si="3"/>
        <v>962</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Tunesië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44</v>
      </c>
      <c r="R8" s="813">
        <f t="shared" si="3"/>
        <v>956</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Nederland</v>
      </c>
      <c r="BF13" s="693" t="str">
        <v>Japan</v>
      </c>
      <c r="BG13" s="693" t="str">
        <v>Zweden</v>
      </c>
      <c r="BH13" s="694" t="str">
        <v>Tunesië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Nederland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Nederland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Japan</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Japan</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Zweden</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Zweden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Tunesië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Tunesië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Nederland</v>
      </c>
      <c r="I21" s="722" t="str">
        <v>Japan</v>
      </c>
      <c r="J21" s="722" t="str">
        <v>Zweden</v>
      </c>
      <c r="K21" s="723" t="str">
        <v>Tunesië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Nederland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7</v>
      </c>
      <c r="O22" s="732" t="s">
        <v>26</v>
      </c>
      <c r="P22" s="768" t="str">
        <f>INDEX('World Cup'!$B$13:$AJ$38,1,1+(CODE($B$1)-65)*3)</f>
        <v>Nederland</v>
      </c>
      <c r="Q22" s="769" t="str">
        <f>INDEX('World Cup'!$B$13:$AJ$38,1,2+(CODE($B$1)-65)*3)</f>
        <v>Japan</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NederlandJapan</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Japan</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18</v>
      </c>
      <c r="O23" s="744" t="s">
        <v>27</v>
      </c>
      <c r="P23" s="771" t="str">
        <f>INDEX('World Cup'!$B$13:$AJ$38,6,1+(CODE($B$1)-65)*3)</f>
        <v>Zweden</v>
      </c>
      <c r="Q23" s="772" t="str">
        <f>INDEX('World Cup'!$B$13:$AJ$38,6,2+(CODE($B$1)-65)*3)</f>
        <v>Tunesië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ZwedenTunesië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Zweden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38</v>
      </c>
      <c r="O24" s="744" t="s">
        <v>28</v>
      </c>
      <c r="P24" s="771" t="str">
        <f>INDEX('World Cup'!$B$13:$AJ$38,11,1+(CODE($B$1)-65)*3)</f>
        <v>Nederland</v>
      </c>
      <c r="Q24" s="772" t="str">
        <f>INDEX('World Cup'!$B$13:$AJ$38,11,2+(CODE($B$1)-65)*3)</f>
        <v>Zweden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NederlandZweden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Tunesië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44</v>
      </c>
      <c r="O25" s="744" t="s">
        <v>29</v>
      </c>
      <c r="P25" s="771" t="str">
        <f>INDEX('World Cup'!$B$13:$AJ$38,16,1+(CODE($B$1)-65)*3)</f>
        <v>Tunesië</v>
      </c>
      <c r="Q25" s="772" t="str">
        <f>INDEX('World Cup'!$B$13:$AJ$38,16,2+(CODE($B$1)-65)*3)</f>
        <v>Japan</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TunesiëJapan</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Japan</v>
      </c>
      <c r="Q26" s="772" t="str">
        <f>INDEX('World Cup'!$B$13:$AJ$38,21,2+(CODE($B$1)-65)*3)</f>
        <v>Zweden</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JapanZweden</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Tunesië</v>
      </c>
      <c r="Q27" s="775" t="str">
        <f>INDEX('World Cup'!$B$13:$AJ$38,26,2+(CODE($B$1)-65)*3)</f>
        <v>Nederland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TunesiëNederland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JapanNederland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TunesiëZweden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ZwedenNederland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JapanTunesië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ZwedenJapan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NederlandTunesië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272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België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991</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Egypte</v>
      </c>
      <c r="E6" s="875"/>
      <c r="F6" s="675"/>
      <c r="G6" s="686"/>
      <c r="H6" s="665">
        <f>SUMIFS($R$22:$R$27,$P$22:$P$27,$D6)+SUMIFS($S$22:$S$27,$Q$22:$Q$27,$D6)</f>
        <v>0</v>
      </c>
      <c r="I6" s="665">
        <f>SUMIFS($S$22:$S$27,$P$22:$P$27,$D6)+SUMIFS($R$22:$R$27,$Q$22:$Q$27,$D6)</f>
        <v>0</v>
      </c>
      <c r="J6" s="664">
        <f t="shared" si="0"/>
        <v>0</v>
      </c>
      <c r="K6" s="676">
        <f t="shared" ref="K6:K8" si="1">M6*3+N6</f>
        <v>2</v>
      </c>
      <c r="L6" s="665">
        <f t="shared" ref="L6:L8" si="2">M6+N6+O6</f>
        <v>2</v>
      </c>
      <c r="M6" s="665">
        <f>SUMPRODUCT(($P$22:$P$27=D6)*($R$22:$R$27&gt;$S$22:$S$27))+SUMPRODUCT(($Q$22:$Q$27=D6)*($R$22:$R$27&lt;$S$22:$S$27))</f>
        <v>0</v>
      </c>
      <c r="N6" s="665">
        <f>SUMPRODUCT(($P$22:$Q$27=D6)*($R$22:$R$27=$S$22:$S$27)*($R$22:$R$27&lt;&gt;"")*($S$22:$S$27&lt;&gt;""))</f>
        <v>2</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971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Iran</v>
      </c>
      <c r="E7" s="875"/>
      <c r="F7" s="675"/>
      <c r="G7" s="686"/>
      <c r="H7" s="665">
        <f>SUMIFS($R$22:$R$27,$P$22:$P$27,$D7)+SUMIFS($S$22:$S$27,$Q$22:$Q$27,$D7)</f>
        <v>0</v>
      </c>
      <c r="I7" s="665">
        <f>SUMIFS($S$22:$S$27,$P$22:$P$27,$D7)+SUMIFS($R$22:$R$27,$Q$22:$Q$27,$D7)</f>
        <v>0</v>
      </c>
      <c r="J7" s="664">
        <f t="shared" si="0"/>
        <v>0</v>
      </c>
      <c r="K7" s="676">
        <f t="shared" si="1"/>
        <v>2</v>
      </c>
      <c r="L7" s="665">
        <f t="shared" si="2"/>
        <v>2</v>
      </c>
      <c r="M7" s="665">
        <f>SUMPRODUCT(($P$22:$P$27=D7)*($R$22:$R$27&gt;$S$22:$S$27))+SUMPRODUCT(($Q$22:$Q$27=D7)*($R$22:$R$27&lt;$S$22:$S$27))</f>
        <v>0</v>
      </c>
      <c r="N7" s="665">
        <f>SUMPRODUCT(($P$22:$Q$27=D7)*($R$22:$R$27=$S$22:$S$27)*($R$22:$R$27&lt;&gt;"")*($S$22:$S$27&lt;&gt;""))</f>
        <v>2</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979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99</v>
      </c>
      <c r="BB7" s="879">
        <f t="shared" si="5"/>
        <v>3</v>
      </c>
      <c r="BN7" s="878" t="str">
        <f t="shared" si="6"/>
        <v/>
      </c>
      <c r="BO7" s="879" t="e">
        <f t="shared" si="7"/>
        <v>#N/A</v>
      </c>
      <c r="BZ7" s="878" t="str">
        <f t="shared" si="8"/>
        <v/>
      </c>
      <c r="CA7" s="879" t="e">
        <f t="shared" si="9"/>
        <v>#N/A</v>
      </c>
    </row>
    <row r="8" spans="2:86" s="662" customFormat="1">
      <c r="B8" s="664"/>
      <c r="C8" s="665">
        <v>4</v>
      </c>
      <c r="D8" s="779" t="str">
        <f>VLOOKUP($B$1&amp;ROW($A4),Groups!$B$7:$D$65,3,0)</f>
        <v>Nieuw-Zeeland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85</v>
      </c>
      <c r="R8" s="813">
        <f t="shared" si="3"/>
        <v>915</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99</v>
      </c>
      <c r="BB8" s="881">
        <f t="shared" si="5"/>
        <v>2</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5</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België</v>
      </c>
      <c r="BF13" s="693" t="str">
        <v>Nieuw-Zeeland</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België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1</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1</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België</v>
      </c>
      <c r="BA14" s="703">
        <f t="array" ref="BA14:BA17">IFERROR(VLOOKUP($BA$5:$BA$8,$C$14:$K$17,9,0),"")</f>
        <v>1</v>
      </c>
      <c r="BB14" s="703">
        <f t="array" ref="BB14:BB17">IFERROR(VLOOKUP($BA$5:$BA$8,$C$14:$O$17,13,0),"")</f>
        <v>0</v>
      </c>
      <c r="BC14" s="705">
        <f t="array" ref="BC14:BC17">IFERROR(VLOOKUP($BA$5:$BA$8,$C$14:$S$17,17,0),"")</f>
        <v>0</v>
      </c>
      <c r="BE14" s="708" t="str">
        <f t="array" ref="BE14:BH17">IFERROR(VLOOKUP($AZ$14:$AZ$17&amp;$BE$13:$BH$13,$Z$22:$AA$33,2,0),"")</f>
        <v/>
      </c>
      <c r="BF14" s="709" t="str">
        <v>0 : 0</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Egypte</v>
      </c>
      <c r="E15" s="682">
        <f t="shared" ref="E15:E17" si="19">RANK(F15,$F$14:$F$17,1)</f>
        <v>4</v>
      </c>
      <c r="F15" s="675">
        <f t="shared" ref="F15:F17" si="20">G15+ROW()/1000+(D15="")*10</f>
        <v>4.0149999999999997</v>
      </c>
      <c r="G15" s="814">
        <f t="shared" ref="G15:G17" si="21">AS15</f>
        <v>4</v>
      </c>
      <c r="H15" s="679"/>
      <c r="I15" s="684">
        <f t="shared" ref="I15:I17" si="22">RANK($K6,$K$5:$K$8)</f>
        <v>3</v>
      </c>
      <c r="J15" s="790"/>
      <c r="K15" s="665">
        <f t="array" ref="K15">SUMPRODUCT($U$22:$U$27*($P$22:$P$27=$D15)*ISNUMBER(MATCH($Q$22:$Q$27,IF($I$14:$I$17=$I15,$D$14:$D$17,""),0)))+SUMPRODUCT($V$22:$V$27*($Q$22:$Q$27=$D15)*ISNUMBER(MATCH($P$22:$P$27,IF($I$14:$I$17=$I15,$D$14:$D$17,""),0)))</f>
        <v>0</v>
      </c>
      <c r="L15" s="664">
        <f>COUNTIFS($K$14:$K$17,"&gt;"&amp;$K15,$I$14:$I$17,"="&amp;$I15)</f>
        <v>0</v>
      </c>
      <c r="M15" s="680">
        <f t="shared" si="10"/>
        <v>3</v>
      </c>
      <c r="N15" s="679"/>
      <c r="O15" s="665">
        <f t="array" ref="O15">SUMPRODUCT($W$22:$W$27*($P$22:$P$27=$D15)*ISNUMBER(MATCH($Q$22:$Q$27,IF($I$14:$I$17=$I15,$D$14:$D$17,""),0)))+SUMPRODUCT(-$W$22:$W$27*($Q$22:$Q$27=$D15)*ISNUMBER(MATCH($P$22:$P$27,IF($I$14:$I$17=$I15,$D$14:$D$17,""),0)))</f>
        <v>0</v>
      </c>
      <c r="P15" s="664">
        <f>COUNTIFS($O$14:$O$17,"&gt;"&amp;$O15,$M$14:$M$17,"="&amp;$M15)</f>
        <v>0</v>
      </c>
      <c r="Q15" s="680">
        <f t="shared" si="11"/>
        <v>3</v>
      </c>
      <c r="R15" s="679"/>
      <c r="S15" s="665">
        <f t="array" ref="S15">SUMPRODUCT($X$22:$X$27*($P$22:$P$27=$D15)*ISNUMBER(MATCH($Q$22:$Q$27,IF($I$14:$I$17=$I15,$D$14:$D$17,""),0)))+SUMPRODUCT($Y$22:$Y$27*($Q$22:$Q$27=$D15)*ISNUMBER(MATCH($P$22:$P$27,IF($I$14:$I$17=$I15,$D$14:$D$17,""),0)))</f>
        <v>0</v>
      </c>
      <c r="T15" s="664">
        <f>COUNTIFS($S$14:$S$17,"&gt;"&amp;$S15,$Q$14:$Q$17,"="&amp;$Q15)</f>
        <v>0</v>
      </c>
      <c r="U15" s="680">
        <f t="shared" si="12"/>
        <v>3</v>
      </c>
      <c r="V15" s="790"/>
      <c r="W15" s="665">
        <f t="array" ref="W15">SUMPRODUCT($U$22:$U$27*($P$22:$P$27=$D15)*ISNUMBER(MATCH($Q$22:$Q$27,IF($U$14:$U$17=$U15,$D$14:$D$17,""),0)))+SUMPRODUCT($V$22:$V$27*($Q$22:$Q$27=$D15)*ISNUMBER(MATCH($P$22:$P$27,IF($U$14:$U$17=$U15,$D$14:$D$17,""),0)))</f>
        <v>0</v>
      </c>
      <c r="X15" s="664">
        <f>COUNTIFS($W$14:$W$17,"&gt;"&amp;$W15,$U$14:$U$17,"="&amp;$U15)</f>
        <v>0</v>
      </c>
      <c r="Y15" s="680">
        <f t="shared" si="13"/>
        <v>3</v>
      </c>
      <c r="Z15" s="679"/>
      <c r="AA15" s="665">
        <f t="array" ref="AA15">SUMPRODUCT($W$22:$W$27*($P$22:$P$27=$D15)*ISNUMBER(MATCH($Q$22:$Q$27,IF($U$14:$U$17=$U15,$D$14:$D$17,""),0)))+SUMPRODUCT(-$W$22:$W$27*($Q$22:$Q$27=$D15)*ISNUMBER(MATCH($P$22:$P$27,IF($U$14:$U$17=$U15,$D$14:$D$17,""),0)))</f>
        <v>0</v>
      </c>
      <c r="AB15" s="664">
        <f>COUNTIFS($AA$14:$AA$17,"&gt;"&amp;$AA15,$Y$14:$Y$17,"="&amp;$Y15)</f>
        <v>0</v>
      </c>
      <c r="AC15" s="680">
        <f t="shared" si="14"/>
        <v>3</v>
      </c>
      <c r="AD15" s="679"/>
      <c r="AE15" s="665">
        <f t="array" ref="AE15">SUMPRODUCT($X$22:$X$27*($P$22:$P$27=$D15)*ISNUMBER(MATCH($Q$22:$Q$27,IF($U$14:$U$17=$U15,$D$14:$D$17,""),0)))+SUMPRODUCT($Y$22:$Y$27*($Q$22:$Q$27=$D15)*ISNUMBER(MATCH($P$22:$P$27,IF($U$14:$U$17=$U15,$D$14:$D$17,""),0)))</f>
        <v>0</v>
      </c>
      <c r="AF15" s="664">
        <f>COUNTIFS($AE$14:$AE$17,"&gt;"&amp;$AE15,$AC$14:$AC$17,"="&amp;$AC15)</f>
        <v>0</v>
      </c>
      <c r="AG15" s="680">
        <f t="shared" si="15"/>
        <v>3</v>
      </c>
      <c r="AH15" s="790"/>
      <c r="AI15" s="686">
        <f>COUNTIFS($J$5:$J$8,"&gt;"&amp;$J6,$AG$14:$AG$17,"="&amp;$AG15)</f>
        <v>0</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1</v>
      </c>
      <c r="AS15" s="680">
        <f t="shared" si="17"/>
        <v>4</v>
      </c>
      <c r="AT15" s="679"/>
      <c r="AV15" s="713" t="b">
        <f t="shared" ref="AV15:AV17" si="26">AND($AU6,$AV6)</f>
        <v>1</v>
      </c>
      <c r="AX15" s="784"/>
      <c r="AY15" s="713">
        <f t="shared" ref="AY15:AY17" si="27">IFERROR(INDEX($E$14:$E$17,IF($I15=$AX$14,$C15,99)),0)</f>
        <v>0</v>
      </c>
      <c r="AZ15" s="701" t="str">
        <v>Nieuw-Zeeland</v>
      </c>
      <c r="BA15" s="686">
        <v>1</v>
      </c>
      <c r="BB15" s="686">
        <v>0</v>
      </c>
      <c r="BC15" s="706">
        <v>0</v>
      </c>
      <c r="BE15" s="711" t="str">
        <v>0 : 0</v>
      </c>
      <c r="BF15" s="712" t="str">
        <v/>
      </c>
      <c r="BG15" s="713" t="str">
        <v/>
      </c>
      <c r="BH15" s="714" t="str">
        <v/>
      </c>
      <c r="BI15" s="713"/>
      <c r="BK15" s="683">
        <v>0</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Iran</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1</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Nieuw-Zeeland</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1</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1</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
      </c>
      <c r="BA17" s="704" t="str">
        <v/>
      </c>
      <c r="BB17" s="704" t="str">
        <v/>
      </c>
      <c r="BC17" s="707" t="str">
        <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België</v>
      </c>
      <c r="I21" s="722" t="str">
        <v>Nieuw-Zeeland</v>
      </c>
      <c r="J21" s="722" t="str">
        <v>Iran</v>
      </c>
      <c r="K21" s="723" t="str">
        <v>Egypte</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Iran</v>
      </c>
      <c r="BH21" s="694" t="str">
        <v>Egypte</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België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9</v>
      </c>
      <c r="O22" s="732" t="s">
        <v>26</v>
      </c>
      <c r="P22" s="768" t="str">
        <f>INDEX('World Cup'!$B$13:$AJ$38,1,1+(CODE($B$1)-65)*3)</f>
        <v>België</v>
      </c>
      <c r="Q22" s="769" t="str">
        <f>INDEX('World Cup'!$B$13:$AJ$38,1,2+(CODE($B$1)-65)*3)</f>
        <v>Egypte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BelgiëEgypte</v>
      </c>
      <c r="AA22" s="741" t="str">
        <f>IF($T22,$X22&amp;Language!$E$197&amp;$Y22,"")</f>
        <v>0 : 0</v>
      </c>
      <c r="AB22" s="781"/>
      <c r="AC22" s="781"/>
      <c r="AD22" s="781"/>
      <c r="AE22" s="665"/>
      <c r="AF22" s="860"/>
      <c r="AG22" s="783"/>
      <c r="AH22" s="783"/>
      <c r="AI22" s="782"/>
      <c r="AJ22" s="686"/>
      <c r="AK22" s="742"/>
      <c r="AL22" s="686"/>
      <c r="AN22" s="686"/>
      <c r="AO22" s="686"/>
      <c r="AX22" s="788">
        <f t="array" ref="AX22">IFERROR(SMALL(IF(COUNTIF($I$14:$I$17,$C$14:$C$17)&gt;1,$C$14:$C$17,""),2),"")</f>
        <v>3</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Nieuw-Zeeland</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85</v>
      </c>
      <c r="O23" s="744" t="s">
        <v>27</v>
      </c>
      <c r="P23" s="771" t="str">
        <f>INDEX('World Cup'!$B$13:$AJ$38,6,1+(CODE($B$1)-65)*3)</f>
        <v>Iran</v>
      </c>
      <c r="Q23" s="772" t="str">
        <f>INDEX('World Cup'!$B$13:$AJ$38,6,2+(CODE($B$1)-65)*3)</f>
        <v>Nieuw-Zeeland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IranNieuw-Zeeland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4</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Iran</v>
      </c>
      <c r="E24" s="791">
        <f t="shared" si="36"/>
        <v>2</v>
      </c>
      <c r="F24" s="664">
        <f t="shared" si="37"/>
        <v>0</v>
      </c>
      <c r="G24" s="798">
        <f t="shared" si="38"/>
        <v>0</v>
      </c>
      <c r="H24" s="728" t="str">
        <v>0 : 0</v>
      </c>
      <c r="I24" s="664" t="str">
        <v>0 : 0</v>
      </c>
      <c r="J24" s="729" t="str">
        <v/>
      </c>
      <c r="K24" s="794" t="str">
        <v/>
      </c>
      <c r="L24" s="781" t="b">
        <f t="shared" si="39"/>
        <v>1</v>
      </c>
      <c r="M24" s="781" t="b">
        <v>1</v>
      </c>
      <c r="N24" s="665">
        <f t="shared" si="40"/>
        <v>21</v>
      </c>
      <c r="O24" s="744" t="s">
        <v>28</v>
      </c>
      <c r="P24" s="771" t="str">
        <f>INDEX('World Cup'!$B$13:$AJ$38,11,1+(CODE($B$1)-65)*3)</f>
        <v>België</v>
      </c>
      <c r="Q24" s="772" t="str">
        <f>INDEX('World Cup'!$B$13:$AJ$38,11,2+(CODE($B$1)-65)*3)</f>
        <v>Iran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BelgiëIran</v>
      </c>
      <c r="AA24" s="751" t="str">
        <f>IF($T24,$X24&amp;Language!$E$197&amp;$Y24,"")</f>
        <v>0 : 0</v>
      </c>
      <c r="AB24" s="781"/>
      <c r="AC24" s="781"/>
      <c r="AD24" s="781"/>
      <c r="AE24" s="665"/>
      <c r="AF24" s="860"/>
      <c r="AG24" s="783"/>
      <c r="AH24" s="783"/>
      <c r="AI24" s="783"/>
      <c r="AJ24" s="686"/>
      <c r="AK24" s="742"/>
      <c r="AL24" s="686"/>
      <c r="AN24" s="686"/>
      <c r="AO24" s="686"/>
      <c r="AY24" s="713">
        <f t="shared" si="41"/>
        <v>3</v>
      </c>
      <c r="AZ24" s="701" t="str">
        <v>Iran</v>
      </c>
      <c r="BA24" s="686">
        <v>0</v>
      </c>
      <c r="BB24" s="686">
        <v>0</v>
      </c>
      <c r="BC24" s="706">
        <v>0</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Egypte</v>
      </c>
      <c r="E25" s="799">
        <f t="shared" si="36"/>
        <v>2</v>
      </c>
      <c r="F25" s="731">
        <f t="shared" si="37"/>
        <v>0</v>
      </c>
      <c r="G25" s="800">
        <f t="shared" si="38"/>
        <v>0</v>
      </c>
      <c r="H25" s="730" t="str">
        <v>0 : 0</v>
      </c>
      <c r="I25" s="731" t="str">
        <v>0 : 0</v>
      </c>
      <c r="J25" s="731" t="str">
        <v/>
      </c>
      <c r="K25" s="795" t="str">
        <v/>
      </c>
      <c r="L25" s="781" t="b">
        <f t="shared" si="39"/>
        <v>1</v>
      </c>
      <c r="M25" s="781" t="b">
        <v>1</v>
      </c>
      <c r="N25" s="665">
        <f t="shared" si="40"/>
        <v>29</v>
      </c>
      <c r="O25" s="744" t="s">
        <v>29</v>
      </c>
      <c r="P25" s="771" t="str">
        <f>INDEX('World Cup'!$B$13:$AJ$38,16,1+(CODE($B$1)-65)*3)</f>
        <v>Nieuw-Zeeland</v>
      </c>
      <c r="Q25" s="772" t="str">
        <f>INDEX('World Cup'!$B$13:$AJ$38,16,2+(CODE($B$1)-65)*3)</f>
        <v>Egypte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Nieuw-ZeelandEgypte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Egypte</v>
      </c>
      <c r="BA25" s="704">
        <v>0</v>
      </c>
      <c r="BB25" s="704">
        <v>0</v>
      </c>
      <c r="BC25" s="707">
        <v>0</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Egypte</v>
      </c>
      <c r="Q26" s="772" t="str">
        <f>INDEX('World Cup'!$B$13:$AJ$38,21,2+(CODE($B$1)-65)*3)</f>
        <v>Iran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EgypteIran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Nieuw-Zeeland</v>
      </c>
      <c r="Q27" s="775" t="str">
        <f>INDEX('World Cup'!$B$13:$AJ$38,26,2+(CODE($B$1)-65)*3)</f>
        <v>België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Nieuw-ZeelandBelgië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EgypteBelgië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Nieuw-ZeelandIran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IranBelgië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EgypteNieuw-Zeeland</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IranEgypte</v>
      </c>
      <c r="AA32" s="751" t="str">
        <f>IF($T26,$Y26&amp;Language!$E$197&amp;$X26,"")</f>
        <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BelgiëNieuw-Zeeland</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Spanje</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998</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Kaapverdië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931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Saoedi-Arabië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61</v>
      </c>
      <c r="R7" s="813">
        <f t="shared" si="3"/>
        <v>939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Uruguay</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17</v>
      </c>
      <c r="R8" s="813">
        <f t="shared" si="3"/>
        <v>983</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Spanje</v>
      </c>
      <c r="BF13" s="693" t="str">
        <v>Uruguay</v>
      </c>
      <c r="BG13" s="693" t="str">
        <v>Saoedi-Arabië</v>
      </c>
      <c r="BH13" s="694" t="str">
        <v>Kaapverdië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Spanje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Spanje</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Kaapverdië</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Uruguay</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Saoedi-Arabië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Saoedi-Arabië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Uruguay</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Kaapverdië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Spanje</v>
      </c>
      <c r="I21" s="722" t="str">
        <v>Uruguay</v>
      </c>
      <c r="J21" s="722" t="str">
        <v>Saoedi-Arabië</v>
      </c>
      <c r="K21" s="723" t="str">
        <v>Kaapverdië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Spanje</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2</v>
      </c>
      <c r="O22" s="732" t="s">
        <v>26</v>
      </c>
      <c r="P22" s="768" t="str">
        <f>INDEX('World Cup'!$B$13:$AJ$38,1,1+(CODE($B$1)-65)*3)</f>
        <v>Spanje</v>
      </c>
      <c r="Q22" s="769" t="str">
        <f>INDEX('World Cup'!$B$13:$AJ$38,1,2+(CODE($B$1)-65)*3)</f>
        <v>Kaapverdië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SpanjeKaapverdië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Uruguay</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17</v>
      </c>
      <c r="O23" s="744" t="s">
        <v>27</v>
      </c>
      <c r="P23" s="771" t="str">
        <f>INDEX('World Cup'!$B$13:$AJ$38,6,1+(CODE($B$1)-65)*3)</f>
        <v>Saoedi-Arabië</v>
      </c>
      <c r="Q23" s="772" t="str">
        <f>INDEX('World Cup'!$B$13:$AJ$38,6,2+(CODE($B$1)-65)*3)</f>
        <v>Uruguay</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Saoedi-ArabiëUruguay</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Saoedi-Arabië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61</v>
      </c>
      <c r="O24" s="744" t="s">
        <v>28</v>
      </c>
      <c r="P24" s="771" t="str">
        <f>INDEX('World Cup'!$B$13:$AJ$38,11,1+(CODE($B$1)-65)*3)</f>
        <v>Spanje</v>
      </c>
      <c r="Q24" s="772" t="str">
        <f>INDEX('World Cup'!$B$13:$AJ$38,11,2+(CODE($B$1)-65)*3)</f>
        <v>Saoedi-Arabië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SpanjeSaoedi-Arabië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Kaapverdië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69</v>
      </c>
      <c r="O25" s="744" t="s">
        <v>29</v>
      </c>
      <c r="P25" s="771" t="str">
        <f>INDEX('World Cup'!$B$13:$AJ$38,16,1+(CODE($B$1)-65)*3)</f>
        <v>Uruguay</v>
      </c>
      <c r="Q25" s="772" t="str">
        <f>INDEX('World Cup'!$B$13:$AJ$38,16,2+(CODE($B$1)-65)*3)</f>
        <v>Kaapverdië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UruguayKaapverdië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Kaapverdië</v>
      </c>
      <c r="Q26" s="772" t="str">
        <f>INDEX('World Cup'!$B$13:$AJ$38,21,2+(CODE($B$1)-65)*3)</f>
        <v>Saoedi-Arabië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KaapverdiëSaoedi-Arabië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Uruguay</v>
      </c>
      <c r="Q27" s="775" t="str">
        <f>INDEX('World Cup'!$B$13:$AJ$38,26,2+(CODE($B$1)-65)*3)</f>
        <v>Spanje</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UruguaySpanje</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KaapverdiëSpanje</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UruguaySaoedi-Arabië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Saoedi-ArabiëSpanje</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KaapverdiëUruguay</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Saoedi-ArabiëKaapverdië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SpanjeUruguay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Frankrijk</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999</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Senegal</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14</v>
      </c>
      <c r="R6" s="813">
        <f t="shared" ref="R6:R8" si="3">(1000-Q6)*($L$9&gt;0)</f>
        <v>986</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57</v>
      </c>
      <c r="R7" s="813">
        <f t="shared" si="3"/>
        <v>943</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Noorwegen</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31</v>
      </c>
      <c r="R8" s="813">
        <f t="shared" si="3"/>
        <v>969</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Frankrijk</v>
      </c>
      <c r="BF13" s="693" t="str">
        <v>Senegal</v>
      </c>
      <c r="BG13" s="693" t="str">
        <v>Noorwegen</v>
      </c>
      <c r="BH13" s="694" t="str">
        <v>Irak</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Frankrijk</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Frankrijk</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Senegal</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Senegal</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Irak</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Noorwegen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Noorwegen</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Irak</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Frankrijk</v>
      </c>
      <c r="I21" s="722" t="str">
        <v>Senegal</v>
      </c>
      <c r="J21" s="722" t="str">
        <v>Noorwegen</v>
      </c>
      <c r="K21" s="723" t="str">
        <v>Irak</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Frankrijk</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v>
      </c>
      <c r="O22" s="732" t="s">
        <v>26</v>
      </c>
      <c r="P22" s="768" t="str">
        <f>INDEX('World Cup'!$B$13:$AJ$38,1,1+(CODE($B$1)-65)*3)</f>
        <v>Frankrijk</v>
      </c>
      <c r="Q22" s="769" t="str">
        <f>INDEX('World Cup'!$B$13:$AJ$38,1,2+(CODE($B$1)-65)*3)</f>
        <v>Senegal</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FrankrijkSenegal</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Senegal</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14</v>
      </c>
      <c r="O23" s="744" t="s">
        <v>27</v>
      </c>
      <c r="P23" s="771" t="str">
        <f>INDEX('World Cup'!$B$13:$AJ$38,6,1+(CODE($B$1)-65)*3)</f>
        <v>Irak</v>
      </c>
      <c r="Q23" s="772" t="str">
        <f>INDEX('World Cup'!$B$13:$AJ$38,6,2+(CODE($B$1)-65)*3)</f>
        <v>Noorwegen</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IrakNoorwegen</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Noorwegen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31</v>
      </c>
      <c r="O24" s="744" t="s">
        <v>28</v>
      </c>
      <c r="P24" s="771" t="str">
        <f>INDEX('World Cup'!$B$13:$AJ$38,11,1+(CODE($B$1)-65)*3)</f>
        <v>Frankrijk</v>
      </c>
      <c r="Q24" s="772" t="str">
        <f>INDEX('World Cup'!$B$13:$AJ$38,11,2+(CODE($B$1)-65)*3)</f>
        <v>Irak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FrankrijkIrak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Irak</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57</v>
      </c>
      <c r="O25" s="744" t="s">
        <v>29</v>
      </c>
      <c r="P25" s="771" t="str">
        <f>INDEX('World Cup'!$B$13:$AJ$38,16,1+(CODE($B$1)-65)*3)</f>
        <v>Noorwegen</v>
      </c>
      <c r="Q25" s="772" t="str">
        <f>INDEX('World Cup'!$B$13:$AJ$38,16,2+(CODE($B$1)-65)*3)</f>
        <v>Senegal</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NoorwegenSenegal</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Noorwegen</v>
      </c>
      <c r="Q26" s="772" t="str">
        <f>INDEX('World Cup'!$B$13:$AJ$38,21,2+(CODE($B$1)-65)*3)</f>
        <v>Frankrijk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NoorwegenFrankrijk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Senegal</v>
      </c>
      <c r="Q27" s="775" t="str">
        <f>INDEX('World Cup'!$B$13:$AJ$38,26,2+(CODE($B$1)-65)*3)</f>
        <v>Irak</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SenegalIrak</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SenegalFrankrijk</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NoorwegenIrak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IrakFrankrijk</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SenegalNoorwegen</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FrankrijkNoorwegen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IrakSenegal</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841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Argentinië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997</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Algerije</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28</v>
      </c>
      <c r="R6" s="813">
        <f t="shared" ref="R6:R8" si="3">(1000-Q6)*($L$9&gt;0)</f>
        <v>972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Oostenrijk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24</v>
      </c>
      <c r="R7" s="813">
        <f t="shared" si="3"/>
        <v>976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Jordanië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63</v>
      </c>
      <c r="R8" s="813">
        <f t="shared" si="3"/>
        <v>937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Argentinië</v>
      </c>
      <c r="BF13" s="693" t="str">
        <v>Oostenrijk</v>
      </c>
      <c r="BG13" s="693" t="str">
        <v>Algerije</v>
      </c>
      <c r="BH13" s="694" t="str">
        <v>Jordanië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Argentinië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Argentinië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Algerije</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Oostenrijk</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Oostenrijk</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Algerije</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Jordanië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Jordanië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Argentinië</v>
      </c>
      <c r="I21" s="722" t="str">
        <v>Oostenrijk</v>
      </c>
      <c r="J21" s="722" t="str">
        <v>Algerije</v>
      </c>
      <c r="K21" s="723" t="str">
        <v>Jordanië</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Argentinië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3</v>
      </c>
      <c r="O22" s="732" t="s">
        <v>26</v>
      </c>
      <c r="P22" s="768" t="str">
        <f>INDEX('World Cup'!$B$13:$AJ$38,1,1+(CODE($B$1)-65)*3)</f>
        <v>Argentinië</v>
      </c>
      <c r="Q22" s="769" t="str">
        <f>INDEX('World Cup'!$B$13:$AJ$38,1,2+(CODE($B$1)-65)*3)</f>
        <v>Algerije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ArgentiniëAlgerije</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Oostenrijk</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24</v>
      </c>
      <c r="O23" s="744" t="s">
        <v>27</v>
      </c>
      <c r="P23" s="771" t="str">
        <f>INDEX('World Cup'!$B$13:$AJ$38,6,1+(CODE($B$1)-65)*3)</f>
        <v>Oostenrijk</v>
      </c>
      <c r="Q23" s="772" t="str">
        <f>INDEX('World Cup'!$B$13:$AJ$38,6,2+(CODE($B$1)-65)*3)</f>
        <v>Jordanië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OostenrijkJordanië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Algerije</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28</v>
      </c>
      <c r="O24" s="744" t="s">
        <v>28</v>
      </c>
      <c r="P24" s="771" t="str">
        <f>INDEX('World Cup'!$B$13:$AJ$38,11,1+(CODE($B$1)-65)*3)</f>
        <v>Argentinië</v>
      </c>
      <c r="Q24" s="772" t="str">
        <f>INDEX('World Cup'!$B$13:$AJ$38,11,2+(CODE($B$1)-65)*3)</f>
        <v>Oostenrijk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ArgentiniëOostenrijk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Jordanië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63</v>
      </c>
      <c r="O25" s="744" t="s">
        <v>29</v>
      </c>
      <c r="P25" s="771" t="str">
        <f>INDEX('World Cup'!$B$13:$AJ$38,16,1+(CODE($B$1)-65)*3)</f>
        <v>Jordanië</v>
      </c>
      <c r="Q25" s="772" t="str">
        <f>INDEX('World Cup'!$B$13:$AJ$38,16,2+(CODE($B$1)-65)*3)</f>
        <v>Algerije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JordaniëAlgerije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Algerije</v>
      </c>
      <c r="Q26" s="772" t="str">
        <f>INDEX('World Cup'!$B$13:$AJ$38,21,2+(CODE($B$1)-65)*3)</f>
        <v>Oostenrijk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AlgerijeOostenrijk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Jordanië</v>
      </c>
      <c r="Q27" s="775" t="str">
        <f>INDEX('World Cup'!$B$13:$AJ$38,26,2+(CODE($B$1)-65)*3)</f>
        <v>Argentinië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JordaniëArgentinië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AlgerijeArgentinië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JordaniëOostenrijk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OostenrijkArgentinië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AlgerijeJordanië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OostenrijkAlgerije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ArgentiniëJordanië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topLeftCell="A46" zoomScaleNormal="100" workbookViewId="0">
      <selection activeCell="F68" sqref="F68"/>
    </sheetView>
  </sheetViews>
  <sheetFormatPr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273"/>
      <c r="D1" s="1273"/>
      <c r="E1" s="1269" t="str">
        <f>Language!$E$121</f>
        <v>WK voetbal 2026 - Canada/Mexico/VS</v>
      </c>
      <c r="F1" s="1269"/>
      <c r="G1" s="1269"/>
      <c r="H1" s="1269"/>
      <c r="I1" s="1269"/>
      <c r="J1" s="1269"/>
      <c r="K1" s="1269"/>
      <c r="L1" s="1269"/>
      <c r="M1" s="1269"/>
      <c r="N1" s="1269"/>
      <c r="O1" s="1269"/>
      <c r="P1" s="1269"/>
      <c r="Q1" s="1269"/>
      <c r="R1" s="1269"/>
      <c r="S1" s="1269"/>
      <c r="T1" s="1269"/>
      <c r="U1" s="1269"/>
      <c r="V1" s="624"/>
      <c r="W1" s="624"/>
      <c r="X1" s="387" t="s">
        <v>1896</v>
      </c>
      <c r="Y1" s="24"/>
      <c r="AJ1" s="387"/>
      <c r="AV1" s="387" t="str">
        <f>X1</f>
        <v>hb/vers. 4.2.1
2026-04-01</v>
      </c>
    </row>
    <row r="2" spans="1:52" s="381" customFormat="1" ht="15" customHeight="1">
      <c r="A2" s="379"/>
      <c r="B2" s="377"/>
      <c r="C2" s="64" t="str">
        <f>Language!$E$134</f>
        <v xml:space="preserve">  Ptn.     Doelp.</v>
      </c>
      <c r="D2" s="380"/>
      <c r="E2" s="377"/>
      <c r="F2" s="64" t="str">
        <f>Language!$E$134</f>
        <v xml:space="preserve">  Ptn.     Doelp.</v>
      </c>
      <c r="G2" s="380"/>
      <c r="H2" s="377"/>
      <c r="I2" s="64" t="str">
        <f>Language!$E$134</f>
        <v xml:space="preserve">  Ptn.     Doelp.</v>
      </c>
      <c r="J2" s="380"/>
      <c r="K2" s="378"/>
      <c r="L2" s="64" t="str">
        <f>Language!$E$134</f>
        <v xml:space="preserve">  Ptn.     Doelp.</v>
      </c>
      <c r="M2" s="380"/>
      <c r="N2" s="377"/>
      <c r="O2" s="64" t="str">
        <f>Language!$E$134</f>
        <v xml:space="preserve">  Ptn.     Doelp.</v>
      </c>
      <c r="P2" s="380"/>
      <c r="Q2" s="377"/>
      <c r="R2" s="64" t="str">
        <f>Language!$E$134</f>
        <v xml:space="preserve">  Ptn.     Doelp.</v>
      </c>
      <c r="S2" s="380"/>
      <c r="T2" s="377"/>
      <c r="U2" s="64" t="str">
        <f>Language!$E$134</f>
        <v xml:space="preserve">  Ptn.     Doelp.</v>
      </c>
      <c r="V2" s="380"/>
      <c r="W2" s="377"/>
      <c r="X2" s="64" t="str">
        <f>Language!$E$134</f>
        <v xml:space="preserve">  Ptn.     Doelp.</v>
      </c>
      <c r="Y2" s="379"/>
      <c r="Z2" s="377"/>
      <c r="AA2" s="64" t="str">
        <f>Language!$E$134</f>
        <v xml:space="preserve">  Ptn.     Doelp.</v>
      </c>
      <c r="AB2" s="380"/>
      <c r="AC2" s="377"/>
      <c r="AD2" s="64" t="str">
        <f>Language!$E$134</f>
        <v xml:space="preserve">  Ptn.     Doelp.</v>
      </c>
      <c r="AE2" s="380"/>
      <c r="AF2" s="377"/>
      <c r="AG2" s="64" t="str">
        <f>Language!$E$134</f>
        <v xml:space="preserve">  Ptn.     Doelp.</v>
      </c>
      <c r="AH2" s="380"/>
      <c r="AI2" s="378"/>
      <c r="AJ2" s="64" t="str">
        <f>Language!$E$134</f>
        <v xml:space="preserve">  Ptn.     Doelp.</v>
      </c>
      <c r="AK2" s="380"/>
      <c r="AL2" s="420"/>
      <c r="AM2" s="420"/>
      <c r="AN2" s="420"/>
      <c r="AO2" s="420"/>
      <c r="AP2" s="420"/>
      <c r="AQ2" s="420"/>
      <c r="AR2" s="420"/>
      <c r="AS2" s="420"/>
      <c r="AT2" s="420"/>
      <c r="AU2" s="420"/>
      <c r="AV2" s="420"/>
    </row>
    <row r="3" spans="1:52">
      <c r="A3" s="5"/>
      <c r="B3" s="389" t="str">
        <f>CalcA!$D22</f>
        <v>Mexico</v>
      </c>
      <c r="C3" s="390" t="str">
        <f>"   "&amp;CalcA!$E22&amp;"        "&amp;CalcA!$F22&amp;Language!$E$197&amp;CalcA!$G22</f>
        <v xml:space="preserve">   3        0 : 0</v>
      </c>
      <c r="D3" s="84"/>
      <c r="E3" s="389" t="str">
        <f>CalcB!$D22</f>
        <v>Zwitserland</v>
      </c>
      <c r="F3" s="390" t="str">
        <f>"   "&amp;CalcB!$E22&amp;"        "&amp;CalcB!$F22&amp;Language!$E$197&amp;CalcB!$G22</f>
        <v xml:space="preserve">   3        0 : 0</v>
      </c>
      <c r="G3" s="84"/>
      <c r="H3" s="389" t="str">
        <f>CalcC!$D22</f>
        <v>Brazilië</v>
      </c>
      <c r="I3" s="390" t="str">
        <f>"   "&amp;CalcC!$E22&amp;"        "&amp;CalcC!$F22&amp;Language!$E$197&amp;CalcC!$G22</f>
        <v xml:space="preserve">   3        0 : 0</v>
      </c>
      <c r="J3" s="85"/>
      <c r="K3" s="389" t="str">
        <f>CalcD!$D22</f>
        <v>USA</v>
      </c>
      <c r="L3" s="390" t="str">
        <f>"   "&amp;CalcD!$E22&amp;"        "&amp;CalcD!$F22&amp;Language!$E$197&amp;CalcD!$G22</f>
        <v xml:space="preserve">   3        0 : 0</v>
      </c>
      <c r="M3" s="85"/>
      <c r="N3" s="389" t="str">
        <f>CalcE!$D22</f>
        <v>Duitsland</v>
      </c>
      <c r="O3" s="390" t="str">
        <f>"   "&amp;CalcE!$E22&amp;"        "&amp;CalcE!$F22&amp;Language!$E$197&amp;CalcE!$G22</f>
        <v xml:space="preserve">   3        0 : 0</v>
      </c>
      <c r="P3" s="84"/>
      <c r="Q3" s="389" t="str">
        <f>CalcF!$D22</f>
        <v>Nederland</v>
      </c>
      <c r="R3" s="390" t="str">
        <f>"   "&amp;CalcF!$E22&amp;"        "&amp;CalcF!$F22&amp;Language!$E$197&amp;CalcF!$G22</f>
        <v xml:space="preserve">   3        0 : 0</v>
      </c>
      <c r="S3" s="85"/>
      <c r="T3" s="389" t="str">
        <f>CalcG!$D22</f>
        <v>België</v>
      </c>
      <c r="U3" s="390" t="str">
        <f>"   "&amp;CalcG!$E22&amp;"        "&amp;CalcG!$F22&amp;Language!$E$197&amp;CalcG!$G22</f>
        <v xml:space="preserve">   3        0 : 0</v>
      </c>
      <c r="V3" s="84"/>
      <c r="W3" s="389" t="str">
        <f>CalcH!$D22</f>
        <v>Spanje</v>
      </c>
      <c r="X3" s="390" t="str">
        <f>"   "&amp;CalcH!$E22&amp;"        "&amp;CalcH!$F22&amp;Language!$E$197&amp;CalcH!$G22</f>
        <v xml:space="preserve">   3        0 : 0</v>
      </c>
      <c r="Y3" s="5"/>
      <c r="Z3" s="389" t="str">
        <f>CalcI!$D22</f>
        <v>Frankrijk</v>
      </c>
      <c r="AA3" s="390" t="str">
        <f>"   "&amp;CalcI!$E22&amp;"        "&amp;CalcI!$F22&amp;Language!$E$197&amp;CalcI!$G22</f>
        <v xml:space="preserve">   3        0 : 0</v>
      </c>
      <c r="AB3" s="84"/>
      <c r="AC3" s="389" t="str">
        <f>CalcJ!$D22</f>
        <v>Argentinië</v>
      </c>
      <c r="AD3" s="390" t="str">
        <f>"   "&amp;CalcJ!$E22&amp;"        "&amp;CalcJ!$F22&amp;Language!$E$197&amp;CalcJ!$G22</f>
        <v xml:space="preserve">   3        0 : 0</v>
      </c>
      <c r="AE3" s="84"/>
      <c r="AF3" s="389" t="str">
        <f>CalcK!$D22</f>
        <v>Portugal</v>
      </c>
      <c r="AG3" s="390" t="str">
        <f>"   "&amp;CalcK!$E22&amp;"        "&amp;CalcK!$F22&amp;Language!$E$197&amp;CalcK!$G22</f>
        <v xml:space="preserve">   3        0 : 0</v>
      </c>
      <c r="AH3" s="85"/>
      <c r="AI3" s="389" t="str">
        <f>CalcL!$D22</f>
        <v>Engeland</v>
      </c>
      <c r="AJ3" s="390" t="str">
        <f>"   "&amp;CalcL!$E22&amp;"        "&amp;CalcL!$F22&amp;Language!$E$197&amp;CalcL!$G22</f>
        <v xml:space="preserve">   3        0 : 0</v>
      </c>
      <c r="AK3" s="85"/>
      <c r="AL3" s="882"/>
      <c r="AM3" s="420"/>
      <c r="AN3" s="420"/>
      <c r="AO3" s="420"/>
      <c r="AP3" s="420"/>
      <c r="AQ3" s="420"/>
      <c r="AR3" s="420"/>
      <c r="AS3" s="420"/>
      <c r="AT3" s="420"/>
      <c r="AU3" s="420"/>
      <c r="AV3" s="420"/>
      <c r="AZ3" s="381"/>
    </row>
    <row r="4" spans="1:52">
      <c r="A4" s="5"/>
      <c r="B4" s="391" t="str">
        <f>CalcA!$D23</f>
        <v>Zuid-Korea</v>
      </c>
      <c r="C4" s="392" t="str">
        <f>"   "&amp;CalcA!$E23&amp;"        "&amp;CalcA!$F23&amp;Language!$E$197&amp;CalcA!$G23</f>
        <v xml:space="preserve">   3        0 : 0</v>
      </c>
      <c r="D4" s="84"/>
      <c r="E4" s="391" t="str">
        <f>CalcB!$D23</f>
        <v>Canada</v>
      </c>
      <c r="F4" s="392" t="str">
        <f>"   "&amp;CalcB!$E23&amp;"        "&amp;CalcB!$F23&amp;Language!$E$197&amp;CalcB!$G23</f>
        <v xml:space="preserve">   3        0 : 0</v>
      </c>
      <c r="G4" s="84"/>
      <c r="H4" s="391" t="str">
        <f>CalcC!$D23</f>
        <v>Marokko</v>
      </c>
      <c r="I4" s="392" t="str">
        <f>"   "&amp;CalcC!$E23&amp;"        "&amp;CalcC!$F23&amp;Language!$E$197&amp;CalcC!$G23</f>
        <v xml:space="preserve">   3        0 : 0</v>
      </c>
      <c r="J4" s="85"/>
      <c r="K4" s="391" t="str">
        <f>CalcD!$D23</f>
        <v>Turkije</v>
      </c>
      <c r="L4" s="392" t="str">
        <f>"   "&amp;CalcD!$E23&amp;"        "&amp;CalcD!$F23&amp;Language!$E$197&amp;CalcD!$G23</f>
        <v xml:space="preserve">   3        0 : 0</v>
      </c>
      <c r="M4" s="85"/>
      <c r="N4" s="391" t="str">
        <f>CalcE!$D23</f>
        <v>Ecuador</v>
      </c>
      <c r="O4" s="392" t="str">
        <f>"   "&amp;CalcE!$E23&amp;"        "&amp;CalcE!$F23&amp;Language!$E$197&amp;CalcE!$G23</f>
        <v xml:space="preserve">   3        0 : 0</v>
      </c>
      <c r="P4" s="84"/>
      <c r="Q4" s="391" t="str">
        <f>CalcF!$D23</f>
        <v>Japan</v>
      </c>
      <c r="R4" s="392" t="str">
        <f>"   "&amp;CalcF!$E23&amp;"        "&amp;CalcF!$F23&amp;Language!$E$197&amp;CalcF!$G23</f>
        <v xml:space="preserve">   3        0 : 0</v>
      </c>
      <c r="S4" s="85"/>
      <c r="T4" s="391" t="str">
        <f>CalcG!$D23</f>
        <v>Nieuw-Zeeland</v>
      </c>
      <c r="U4" s="392" t="str">
        <f>"   "&amp;CalcG!$E23&amp;"        "&amp;CalcG!$F23&amp;Language!$E$197&amp;CalcG!$G23</f>
        <v xml:space="preserve">   3        0 : 0</v>
      </c>
      <c r="V4" s="84"/>
      <c r="W4" s="391" t="str">
        <f>CalcH!$D23</f>
        <v>Uruguay</v>
      </c>
      <c r="X4" s="392" t="str">
        <f>"   "&amp;CalcH!$E23&amp;"        "&amp;CalcH!$F23&amp;Language!$E$197&amp;CalcH!$G23</f>
        <v xml:space="preserve">   3        0 : 0</v>
      </c>
      <c r="Y4" s="5"/>
      <c r="Z4" s="391" t="str">
        <f>CalcI!$D23</f>
        <v>Senegal</v>
      </c>
      <c r="AA4" s="392" t="str">
        <f>"   "&amp;CalcI!$E23&amp;"        "&amp;CalcI!$F23&amp;Language!$E$197&amp;CalcI!$G23</f>
        <v xml:space="preserve">   3        0 : 0</v>
      </c>
      <c r="AB4" s="84"/>
      <c r="AC4" s="391" t="str">
        <f>CalcJ!$D23</f>
        <v>Oostenrijk</v>
      </c>
      <c r="AD4" s="392" t="str">
        <f>"   "&amp;CalcJ!$E23&amp;"        "&amp;CalcJ!$F23&amp;Language!$E$197&amp;CalcJ!$G23</f>
        <v xml:space="preserve">   3        0 : 0</v>
      </c>
      <c r="AE4" s="84"/>
      <c r="AF4" s="391" t="str">
        <f>CalcK!$D23</f>
        <v>Colombia</v>
      </c>
      <c r="AG4" s="392" t="str">
        <f>"   "&amp;CalcK!$E23&amp;"        "&amp;CalcK!$F23&amp;Language!$E$197&amp;CalcK!$G23</f>
        <v xml:space="preserve">   3        0 : 0</v>
      </c>
      <c r="AH4" s="85"/>
      <c r="AI4" s="391" t="str">
        <f>CalcL!$D23</f>
        <v>Kroatië</v>
      </c>
      <c r="AJ4" s="392" t="str">
        <f>"   "&amp;CalcL!$E23&amp;"        "&amp;CalcL!$F23&amp;Language!$E$197&amp;CalcL!$G23</f>
        <v xml:space="preserve">   3        0 : 0</v>
      </c>
      <c r="AK4" s="85"/>
      <c r="AL4" s="883"/>
      <c r="AM4" s="420"/>
      <c r="AN4" s="420"/>
      <c r="AO4" s="420"/>
      <c r="AP4" s="420"/>
      <c r="AQ4" s="420"/>
      <c r="AR4" s="420"/>
      <c r="AS4" s="420"/>
      <c r="AT4" s="420"/>
      <c r="AU4" s="420"/>
      <c r="AV4" s="420"/>
      <c r="AZ4" s="381"/>
    </row>
    <row r="5" spans="1:52">
      <c r="A5" s="5"/>
      <c r="B5" s="435" t="str">
        <f>CalcA!$D24</f>
        <v>Tsjechië</v>
      </c>
      <c r="C5" s="436" t="str">
        <f>"   "&amp;CalcA!$E24&amp;"        "&amp;CalcA!$F24&amp;Language!$E$197&amp;CalcA!$G24</f>
        <v xml:space="preserve">   3        0 : 0</v>
      </c>
      <c r="D5" s="84"/>
      <c r="E5" s="435" t="str">
        <f>CalcB!$D24</f>
        <v>Qatar</v>
      </c>
      <c r="F5" s="436" t="str">
        <f>"   "&amp;CalcB!$E24&amp;"        "&amp;CalcB!$F24&amp;Language!$E$197&amp;CalcB!$G24</f>
        <v xml:space="preserve">   3        0 : 0</v>
      </c>
      <c r="G5" s="84"/>
      <c r="H5" s="435" t="str">
        <f>CalcC!$D24</f>
        <v>Schotland</v>
      </c>
      <c r="I5" s="436" t="str">
        <f>"   "&amp;CalcC!$E24&amp;"        "&amp;CalcC!$F24&amp;Language!$E$197&amp;CalcC!$G24</f>
        <v xml:space="preserve">   3        0 : 0</v>
      </c>
      <c r="J5" s="85"/>
      <c r="K5" s="435" t="str">
        <f>CalcD!$D24</f>
        <v>Australië</v>
      </c>
      <c r="L5" s="436" t="str">
        <f>"   "&amp;CalcD!$E24&amp;"        "&amp;CalcD!$F24&amp;Language!$E$197&amp;CalcD!$G24</f>
        <v xml:space="preserve">   3        0 : 0</v>
      </c>
      <c r="M5" s="85"/>
      <c r="N5" s="435" t="str">
        <f>CalcE!$D24</f>
        <v>Ivoorkust</v>
      </c>
      <c r="O5" s="436" t="str">
        <f>"   "&amp;CalcE!$E24&amp;"        "&amp;CalcE!$F24&amp;Language!$E$197&amp;CalcE!$G24</f>
        <v xml:space="preserve">   3        0 : 0</v>
      </c>
      <c r="P5" s="84"/>
      <c r="Q5" s="435" t="str">
        <f>CalcF!$D24</f>
        <v>Zweden</v>
      </c>
      <c r="R5" s="436" t="str">
        <f>"   "&amp;CalcF!$E24&amp;"        "&amp;CalcF!$F24&amp;Language!$E$197&amp;CalcF!$G24</f>
        <v xml:space="preserve">   3        0 : 0</v>
      </c>
      <c r="S5" s="85"/>
      <c r="T5" s="435" t="str">
        <f>CalcG!$D24</f>
        <v>Iran</v>
      </c>
      <c r="U5" s="436" t="str">
        <f>"   "&amp;CalcG!$E24&amp;"        "&amp;CalcG!$F24&amp;Language!$E$197&amp;CalcG!$G24</f>
        <v xml:space="preserve">   2        0 : 0</v>
      </c>
      <c r="V5" s="84"/>
      <c r="W5" s="435" t="str">
        <f>CalcH!$D24</f>
        <v>Saoedi-Arabië</v>
      </c>
      <c r="X5" s="436" t="str">
        <f>"   "&amp;CalcH!$E24&amp;"        "&amp;CalcH!$F24&amp;Language!$E$197&amp;CalcH!$G24</f>
        <v xml:space="preserve">   3        0 : 0</v>
      </c>
      <c r="Y5" s="5"/>
      <c r="Z5" s="435" t="str">
        <f>CalcI!$D24</f>
        <v>Noorwegen</v>
      </c>
      <c r="AA5" s="436" t="str">
        <f>"   "&amp;CalcI!$E24&amp;"        "&amp;CalcI!$F24&amp;Language!$E$197&amp;CalcI!$G24</f>
        <v xml:space="preserve">   3        0 : 0</v>
      </c>
      <c r="AB5" s="84"/>
      <c r="AC5" s="435" t="str">
        <f>CalcJ!$D24</f>
        <v>Algerije</v>
      </c>
      <c r="AD5" s="436" t="str">
        <f>"   "&amp;CalcJ!$E24&amp;"        "&amp;CalcJ!$F24&amp;Language!$E$197&amp;CalcJ!$G24</f>
        <v xml:space="preserve">   3        0 : 0</v>
      </c>
      <c r="AE5" s="84"/>
      <c r="AF5" s="435" t="str">
        <f>CalcK!$D24</f>
        <v>Congo</v>
      </c>
      <c r="AG5" s="436" t="str">
        <f>"   "&amp;CalcK!$E24&amp;"        "&amp;CalcK!$F24&amp;Language!$E$197&amp;CalcK!$G24</f>
        <v xml:space="preserve">   3        0 : 0</v>
      </c>
      <c r="AH5" s="85"/>
      <c r="AI5" s="435" t="str">
        <f>CalcL!$D24</f>
        <v>Panama</v>
      </c>
      <c r="AJ5" s="436" t="str">
        <f>"   "&amp;CalcL!$E24&amp;"        "&amp;CalcL!$F24&amp;Language!$E$197&amp;CalcL!$G24</f>
        <v xml:space="preserve">   3        0 : 0</v>
      </c>
      <c r="AK5" s="85"/>
      <c r="AL5" s="883"/>
      <c r="AM5" s="420"/>
      <c r="AN5" s="420"/>
      <c r="AO5" s="420"/>
      <c r="AP5" s="420"/>
      <c r="AQ5" s="420"/>
      <c r="AR5" s="420"/>
      <c r="AS5" s="420"/>
      <c r="AT5" s="420"/>
      <c r="AU5" s="420"/>
      <c r="AV5" s="420"/>
      <c r="AZ5" s="381"/>
    </row>
    <row r="6" spans="1:52">
      <c r="A6" s="5"/>
      <c r="B6" s="95" t="str">
        <f>CalcA!$D25</f>
        <v>Zuid-Afrika</v>
      </c>
      <c r="C6" s="376" t="str">
        <f>"   "&amp;CalcA!$E25&amp;"        "&amp;CalcA!$F25&amp;Language!$E$197&amp;CalcA!$G25</f>
        <v xml:space="preserve">   3        0 : 0</v>
      </c>
      <c r="D6" s="84"/>
      <c r="E6" s="95" t="str">
        <f>CalcB!$D25</f>
        <v>Bosnië/Herz.</v>
      </c>
      <c r="F6" s="376" t="str">
        <f>"   "&amp;CalcB!$E25&amp;"        "&amp;CalcB!$F25&amp;Language!$E$197&amp;CalcB!$G25</f>
        <v xml:space="preserve">   3        0 : 0</v>
      </c>
      <c r="G6" s="84"/>
      <c r="H6" s="95" t="str">
        <f>CalcC!$D25</f>
        <v>Haïti</v>
      </c>
      <c r="I6" s="376" t="str">
        <f>"   "&amp;CalcC!$E25&amp;"        "&amp;CalcC!$F25&amp;Language!$E$197&amp;CalcC!$G25</f>
        <v xml:space="preserve">   3        0 : 0</v>
      </c>
      <c r="J6" s="85"/>
      <c r="K6" s="95" t="str">
        <f>CalcD!$D25</f>
        <v>Paraguay</v>
      </c>
      <c r="L6" s="376" t="str">
        <f>"   "&amp;CalcD!$E25&amp;"        "&amp;CalcD!$F25&amp;Language!$E$197&amp;CalcD!$G25</f>
        <v xml:space="preserve">   3        0 : 0</v>
      </c>
      <c r="M6" s="85"/>
      <c r="N6" s="95" t="str">
        <f>CalcE!$D25</f>
        <v>Curacao</v>
      </c>
      <c r="O6" s="376" t="str">
        <f>"   "&amp;CalcE!$E25&amp;"        "&amp;CalcE!$F25&amp;Language!$E$197&amp;CalcE!$G25</f>
        <v xml:space="preserve">   3        0 : 0</v>
      </c>
      <c r="P6" s="84"/>
      <c r="Q6" s="95" t="str">
        <f>CalcF!$D25</f>
        <v>Tunesië</v>
      </c>
      <c r="R6" s="376" t="str">
        <f>"   "&amp;CalcF!$E25&amp;"        "&amp;CalcF!$F25&amp;Language!$E$197&amp;CalcF!$G25</f>
        <v xml:space="preserve">   3        0 : 0</v>
      </c>
      <c r="S6" s="85"/>
      <c r="T6" s="95" t="str">
        <f>CalcG!$D25</f>
        <v>Egypte</v>
      </c>
      <c r="U6" s="376" t="str">
        <f>"   "&amp;CalcG!$E25&amp;"        "&amp;CalcG!$F25&amp;Language!$E$197&amp;CalcG!$G25</f>
        <v xml:space="preserve">   2        0 : 0</v>
      </c>
      <c r="V6" s="84"/>
      <c r="W6" s="95" t="str">
        <f>CalcH!$D25</f>
        <v>Kaapverdië</v>
      </c>
      <c r="X6" s="376" t="str">
        <f>"   "&amp;CalcH!$E25&amp;"        "&amp;CalcH!$F25&amp;Language!$E$197&amp;CalcH!$G25</f>
        <v xml:space="preserve">   3        0 : 0</v>
      </c>
      <c r="Y6" s="5"/>
      <c r="Z6" s="95" t="str">
        <f>CalcI!$D25</f>
        <v>Irak</v>
      </c>
      <c r="AA6" s="376" t="str">
        <f>"   "&amp;CalcI!$E25&amp;"        "&amp;CalcI!$F25&amp;Language!$E$197&amp;CalcI!$G25</f>
        <v xml:space="preserve">   3        0 : 0</v>
      </c>
      <c r="AB6" s="84"/>
      <c r="AC6" s="95" t="str">
        <f>CalcJ!$D25</f>
        <v>Jordanië</v>
      </c>
      <c r="AD6" s="376" t="str">
        <f>"   "&amp;CalcJ!$E25&amp;"        "&amp;CalcJ!$F25&amp;Language!$E$197&amp;CalcJ!$G25</f>
        <v xml:space="preserve">   3        0 : 0</v>
      </c>
      <c r="AE6" s="84"/>
      <c r="AF6" s="95" t="str">
        <f>CalcK!$D25</f>
        <v>Oezbekistan</v>
      </c>
      <c r="AG6" s="376" t="str">
        <f>"   "&amp;CalcK!$E25&amp;"        "&amp;CalcK!$F25&amp;Language!$E$197&amp;CalcK!$G25</f>
        <v xml:space="preserve">   3        0 : 0</v>
      </c>
      <c r="AH6" s="85"/>
      <c r="AI6" s="95" t="str">
        <f>CalcL!$D25</f>
        <v>Ghana</v>
      </c>
      <c r="AJ6" s="376" t="str">
        <f>"   "&amp;CalcL!$E25&amp;"        "&amp;CalcL!$F25&amp;Language!$E$197&amp;CalcL!$G25</f>
        <v xml:space="preserve">   3        0 : 0</v>
      </c>
      <c r="AK6" s="85"/>
      <c r="AL6" s="883"/>
      <c r="AM6" s="420"/>
      <c r="AN6" s="420"/>
      <c r="AO6" s="420"/>
      <c r="AP6" s="420"/>
      <c r="AQ6" s="420"/>
      <c r="AR6" s="420"/>
      <c r="AS6" s="420"/>
      <c r="AT6" s="420"/>
      <c r="AU6" s="420"/>
      <c r="AV6" s="420"/>
    </row>
    <row r="7" spans="1:52" ht="13.5" customHeight="1">
      <c r="A7" s="5"/>
      <c r="B7" s="1270" t="str">
        <f>IF(Distinctness!$G$17=0,"",IF(Distinctness!$D$4&gt;0,Distinctness!$J$4,Distinctness!$J$5))</f>
        <v>Groepen met Fair-Play score:  A, B, C, D, E, F, G, H, I, J, KenL.</v>
      </c>
      <c r="C7" s="1270"/>
      <c r="D7" s="1270"/>
      <c r="E7" s="1270"/>
      <c r="F7" s="1270"/>
      <c r="G7" s="1270"/>
      <c r="H7" s="1270"/>
      <c r="I7" s="1270"/>
      <c r="J7" s="1270"/>
      <c r="K7" s="1270"/>
      <c r="L7" s="1270"/>
      <c r="M7" s="1270"/>
      <c r="N7" s="1270"/>
      <c r="O7" s="1270"/>
      <c r="P7" s="1270"/>
      <c r="Q7" s="1270"/>
      <c r="R7" s="1270"/>
      <c r="S7" s="1270"/>
      <c r="T7" s="1270"/>
      <c r="U7" s="1270"/>
      <c r="V7" s="1270"/>
      <c r="W7" s="1270"/>
      <c r="X7" s="1270"/>
      <c r="Y7" s="5"/>
      <c r="Z7" s="1270" t="str">
        <f>B7</f>
        <v>Groepen met Fair-Play score:  A, B, C, D, E, F, G, H, I, J, KenL.</v>
      </c>
      <c r="AA7" s="1270"/>
      <c r="AB7" s="1270"/>
      <c r="AC7" s="1270"/>
      <c r="AD7" s="1270"/>
      <c r="AE7" s="1270"/>
      <c r="AF7" s="1270"/>
      <c r="AG7" s="1270"/>
      <c r="AH7" s="1270"/>
      <c r="AI7" s="1270"/>
      <c r="AJ7" s="1270"/>
      <c r="AK7" s="421"/>
      <c r="AL7" s="421"/>
      <c r="AM7" s="421"/>
      <c r="AN7" s="421"/>
      <c r="AO7" s="421"/>
      <c r="AP7" s="421"/>
      <c r="AQ7" s="421"/>
      <c r="AR7" s="421"/>
      <c r="AS7" s="421"/>
      <c r="AT7" s="421"/>
      <c r="AU7" s="421"/>
      <c r="AV7" s="421"/>
      <c r="AZ7" t="str">
        <f>DailySchedule!$N7</f>
        <v>Engeland</v>
      </c>
    </row>
    <row r="8" spans="1:52" ht="11.25" customHeight="1">
      <c r="A8" s="4"/>
      <c r="B8" s="1271" t="str">
        <f>IF(CalcA!$AU$14,"•","")</f>
        <v>•</v>
      </c>
      <c r="C8" s="1272"/>
      <c r="D8" s="102"/>
      <c r="E8" s="1271" t="str">
        <f>IF(CalcB!$AU$14,"•","")</f>
        <v>•</v>
      </c>
      <c r="F8" s="1272"/>
      <c r="G8" s="102"/>
      <c r="H8" s="1271" t="str">
        <f>IF(CalcC!$AU$14,"•","")</f>
        <v>•</v>
      </c>
      <c r="I8" s="1272"/>
      <c r="J8" s="102"/>
      <c r="K8" s="1271" t="str">
        <f>IF(CalcD!$AU$14,"•","")</f>
        <v>•</v>
      </c>
      <c r="L8" s="1272"/>
      <c r="M8" s="22"/>
      <c r="N8" s="1271" t="str">
        <f>IF(CalcE!$AU$14,"•","")</f>
        <v>•</v>
      </c>
      <c r="O8" s="1272"/>
      <c r="P8" s="102"/>
      <c r="Q8" s="1271" t="str">
        <f>IF(CalcF!$AU$14,"•","")</f>
        <v>•</v>
      </c>
      <c r="R8" s="1272"/>
      <c r="S8" s="103"/>
      <c r="T8" s="1271" t="str">
        <f>IF(CalcG!$AU$14,"•","")</f>
        <v>•</v>
      </c>
      <c r="U8" s="1272"/>
      <c r="V8" s="102"/>
      <c r="W8" s="1271" t="str">
        <f>IF(CalcH!$AU$14,"•","")</f>
        <v>•</v>
      </c>
      <c r="X8" s="1272"/>
      <c r="Y8" s="4"/>
      <c r="Z8" s="1271" t="str">
        <f>IF(CalcI!$AU$14,"•","")</f>
        <v>•</v>
      </c>
      <c r="AA8" s="1272"/>
      <c r="AB8" s="102"/>
      <c r="AC8" s="1271" t="str">
        <f>IF(CalcJ!$AU$14,"•","")</f>
        <v>•</v>
      </c>
      <c r="AD8" s="1272"/>
      <c r="AE8" s="102"/>
      <c r="AF8" s="1271" t="str">
        <f>IF(CalcK!$AU$14,"•","")</f>
        <v>•</v>
      </c>
      <c r="AG8" s="1272"/>
      <c r="AH8" s="102"/>
      <c r="AI8" s="1271" t="str">
        <f>IF(CalcL!$AU$14,"•","")</f>
        <v>•</v>
      </c>
      <c r="AJ8" s="1272"/>
      <c r="AK8" s="423"/>
      <c r="AL8" s="433"/>
      <c r="AM8" s="433"/>
      <c r="AN8" s="424"/>
      <c r="AO8" s="433"/>
      <c r="AP8" s="433"/>
      <c r="AQ8" s="425"/>
      <c r="AR8" s="433"/>
      <c r="AS8" s="433"/>
      <c r="AT8" s="424"/>
      <c r="AU8" s="433"/>
      <c r="AV8" s="433"/>
      <c r="AZ8" t="str">
        <f>DailySchedule!$N8</f>
        <v>USA</v>
      </c>
    </row>
    <row r="9" spans="1:52" ht="18.75">
      <c r="A9" s="4"/>
      <c r="B9" s="1276" t="str">
        <f>Language!$E$130&amp;" A"</f>
        <v>Groep A</v>
      </c>
      <c r="C9" s="1277"/>
      <c r="D9" s="6"/>
      <c r="E9" s="1276" t="str">
        <f>Language!$E$130&amp;" B"</f>
        <v>Groep B</v>
      </c>
      <c r="F9" s="1277"/>
      <c r="G9" s="4"/>
      <c r="H9" s="1276" t="str">
        <f>Language!$E$130&amp;" C"</f>
        <v>Groep C</v>
      </c>
      <c r="I9" s="1277"/>
      <c r="J9" s="4"/>
      <c r="K9" s="1276" t="str">
        <f>Language!$E$130&amp;" D"</f>
        <v>Groep D</v>
      </c>
      <c r="L9" s="1277"/>
      <c r="M9" s="4"/>
      <c r="N9" s="1276" t="str">
        <f>Language!$E$130&amp;" E"</f>
        <v>Groep E</v>
      </c>
      <c r="O9" s="1277"/>
      <c r="P9" s="4"/>
      <c r="Q9" s="1276" t="str">
        <f>Language!$E$130&amp;" F"</f>
        <v>Groep F</v>
      </c>
      <c r="R9" s="1277"/>
      <c r="S9" s="4"/>
      <c r="T9" s="1276" t="str">
        <f>Language!$E$130&amp;" G"</f>
        <v>Groep G</v>
      </c>
      <c r="U9" s="1277"/>
      <c r="V9" s="4"/>
      <c r="W9" s="1276" t="str">
        <f>Language!$E$130&amp;" H"</f>
        <v>Groep H</v>
      </c>
      <c r="X9" s="1277"/>
      <c r="Y9" s="4"/>
      <c r="Z9" s="1276" t="str">
        <f>Language!$E$130&amp;" I"</f>
        <v>Groep I</v>
      </c>
      <c r="AA9" s="1277"/>
      <c r="AB9" s="6"/>
      <c r="AC9" s="1276" t="str">
        <f>Language!$E$130&amp;" J"</f>
        <v>Groep J</v>
      </c>
      <c r="AD9" s="1277"/>
      <c r="AE9" s="4"/>
      <c r="AF9" s="1276" t="str">
        <f>Language!$E$130&amp;" K"</f>
        <v>Groep K</v>
      </c>
      <c r="AG9" s="1277"/>
      <c r="AH9" s="4"/>
      <c r="AI9" s="1276" t="str">
        <f>Language!$E$130&amp;" L"</f>
        <v>Groep L</v>
      </c>
      <c r="AJ9" s="1305"/>
      <c r="AK9" s="18"/>
      <c r="AL9" s="434"/>
      <c r="AM9" s="434"/>
      <c r="AN9" s="18"/>
      <c r="AO9" s="434"/>
      <c r="AP9" s="434"/>
      <c r="AQ9" s="18"/>
      <c r="AR9" s="434"/>
      <c r="AS9" s="434"/>
      <c r="AT9" s="18"/>
      <c r="AU9" s="434"/>
      <c r="AV9" s="434"/>
      <c r="AZ9" t="str">
        <f>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c r="A11" s="90">
        <v>1</v>
      </c>
      <c r="B11" s="1274" t="str">
        <f>VLOOKUP(A11,Matches!$B$4:$K$113,7,0)</f>
        <v>Mexico City</v>
      </c>
      <c r="C11" s="1275"/>
      <c r="D11" s="90">
        <v>3</v>
      </c>
      <c r="E11" s="1274" t="str">
        <f>VLOOKUP(D11,Matches!$B$4:$K$113,7,0)</f>
        <v>Toronto</v>
      </c>
      <c r="F11" s="1275"/>
      <c r="G11" s="90">
        <v>7</v>
      </c>
      <c r="H11" s="1274" t="str">
        <f>VLOOKUP(G11,Matches!$B$4:$K$113,7,0)</f>
        <v>New York/New Jersey</v>
      </c>
      <c r="I11" s="1275"/>
      <c r="J11" s="90">
        <v>4</v>
      </c>
      <c r="K11" s="1274" t="str">
        <f>VLOOKUP(J11,Matches!$B$4:$K$113,7,0)</f>
        <v>Los Angeles</v>
      </c>
      <c r="L11" s="1275"/>
      <c r="M11" s="90">
        <v>10</v>
      </c>
      <c r="N11" s="1274" t="str">
        <f>VLOOKUP(M11,Matches!$B$4:$K$113,7,0)</f>
        <v>Houston</v>
      </c>
      <c r="O11" s="1275"/>
      <c r="P11" s="90">
        <v>11</v>
      </c>
      <c r="Q11" s="1274" t="str">
        <f>VLOOKUP(P11,Matches!$B$4:$K$113,7,0)</f>
        <v>Dallas</v>
      </c>
      <c r="R11" s="1275"/>
      <c r="S11" s="90">
        <v>16</v>
      </c>
      <c r="T11" s="1274" t="str">
        <f>VLOOKUP(S11,Matches!$B$4:$K$113,7,0)</f>
        <v>Seattle</v>
      </c>
      <c r="U11" s="1275"/>
      <c r="V11" s="90">
        <v>14</v>
      </c>
      <c r="W11" s="1274" t="str">
        <f>VLOOKUP(V11,Matches!$B$4:$K$113,7,0)</f>
        <v>Atlanta</v>
      </c>
      <c r="X11" s="1275"/>
      <c r="Y11" s="90">
        <v>17</v>
      </c>
      <c r="Z11" s="1274" t="str">
        <f>VLOOKUP(Y11,Matches!$B$4:$K$113,7,0)</f>
        <v>New York/New Jersey</v>
      </c>
      <c r="AA11" s="1275"/>
      <c r="AB11" s="90">
        <v>19</v>
      </c>
      <c r="AC11" s="1274" t="str">
        <f>VLOOKUP(AB11,Matches!$B$4:$K$113,7,0)</f>
        <v>Kansas City</v>
      </c>
      <c r="AD11" s="1275"/>
      <c r="AE11" s="90">
        <v>23</v>
      </c>
      <c r="AF11" s="1274" t="str">
        <f>VLOOKUP(AE11,Matches!$B$4:$K$113,7,0)</f>
        <v>Houston</v>
      </c>
      <c r="AG11" s="1275"/>
      <c r="AH11" s="90">
        <v>22</v>
      </c>
      <c r="AI11" s="1274" t="str">
        <f>VLOOKUP(AH11,Matches!$B$4:$K$113,7,0)</f>
        <v>Dallas</v>
      </c>
      <c r="AJ11" s="1275"/>
      <c r="AK11" s="426"/>
      <c r="AL11" s="431"/>
      <c r="AM11" s="431"/>
      <c r="AN11" s="426"/>
      <c r="AO11" s="431"/>
      <c r="AP11" s="431"/>
      <c r="AQ11" s="426"/>
      <c r="AR11" s="431"/>
      <c r="AS11" s="431"/>
      <c r="AT11" s="426"/>
      <c r="AU11" s="431"/>
      <c r="AV11" s="431"/>
    </row>
    <row r="12" spans="1:52">
      <c r="A12" s="4"/>
      <c r="B12" s="1265">
        <f>VLOOKUP(A11,Matches!$B$4:$K$113,5,0)</f>
        <v>46184.875</v>
      </c>
      <c r="C12" s="1266"/>
      <c r="D12" s="4"/>
      <c r="E12" s="1265">
        <f>VLOOKUP(D11,Matches!$B$4:$K$113,5,0)</f>
        <v>46185.875</v>
      </c>
      <c r="F12" s="1266"/>
      <c r="G12" s="4"/>
      <c r="H12" s="1265">
        <f>VLOOKUP(G11,Matches!$B$4:$K$113,5,0)</f>
        <v>46187</v>
      </c>
      <c r="I12" s="1266"/>
      <c r="J12" s="4"/>
      <c r="K12" s="1265">
        <f>VLOOKUP(J11,Matches!$B$4:$K$113,5,0)</f>
        <v>46186.125</v>
      </c>
      <c r="L12" s="1266"/>
      <c r="M12" s="4"/>
      <c r="N12" s="1265">
        <f>VLOOKUP(M11,Matches!$B$4:$K$113,5,0)</f>
        <v>46187.791666666664</v>
      </c>
      <c r="O12" s="1266"/>
      <c r="P12" s="4"/>
      <c r="Q12" s="1265">
        <f>VLOOKUP(P11,Matches!$B$4:$K$113,5,0)</f>
        <v>46187.916666666664</v>
      </c>
      <c r="R12" s="1266"/>
      <c r="S12" s="4"/>
      <c r="T12" s="1265">
        <f>VLOOKUP(S11,Matches!$B$4:$K$113,5,0)</f>
        <v>46188.875</v>
      </c>
      <c r="U12" s="1266"/>
      <c r="V12" s="4"/>
      <c r="W12" s="1265">
        <f>VLOOKUP(V11,Matches!$B$4:$K$113,5,0)</f>
        <v>46188.75</v>
      </c>
      <c r="X12" s="1266"/>
      <c r="Y12" s="4"/>
      <c r="Z12" s="1265">
        <f>VLOOKUP(Y11,Matches!$B$4:$K$113,5,0)</f>
        <v>46189.875</v>
      </c>
      <c r="AA12" s="1266"/>
      <c r="AB12" s="4"/>
      <c r="AC12" s="1265">
        <f>VLOOKUP(AB11,Matches!$B$4:$K$113,5,0)</f>
        <v>46190.125</v>
      </c>
      <c r="AD12" s="1266"/>
      <c r="AE12" s="4"/>
      <c r="AF12" s="1265">
        <f>VLOOKUP(AE11,Matches!$B$4:$K$113,5,0)</f>
        <v>46190.791666666664</v>
      </c>
      <c r="AG12" s="1266"/>
      <c r="AH12" s="4"/>
      <c r="AI12" s="1265">
        <f>VLOOKUP(AH11,Matches!$B$4:$K$113,5,0)</f>
        <v>46190.916666666664</v>
      </c>
      <c r="AJ12" s="1266"/>
      <c r="AK12" s="18"/>
      <c r="AL12" s="432"/>
      <c r="AM12" s="432"/>
      <c r="AN12" s="18"/>
      <c r="AO12" s="432"/>
      <c r="AP12" s="432"/>
      <c r="AQ12" s="18"/>
      <c r="AR12" s="432"/>
      <c r="AS12" s="432"/>
      <c r="AT12" s="18"/>
      <c r="AU12" s="432"/>
      <c r="AV12" s="432"/>
    </row>
    <row r="13" spans="1:52">
      <c r="A13" s="4"/>
      <c r="B13" s="45" t="str">
        <f>VLOOKUP(A11,Matches!$B$4:$K$113,8,0)</f>
        <v>Mexico</v>
      </c>
      <c r="C13" s="46" t="str">
        <f>VLOOKUP(A11,Matches!$B$4:$K$113,9,0)</f>
        <v>Zuid-Afrika</v>
      </c>
      <c r="D13" s="4"/>
      <c r="E13" s="45" t="str">
        <f>VLOOKUP(D11,Matches!$B$4:$K$113,8,0)</f>
        <v>Canada</v>
      </c>
      <c r="F13" s="46" t="str">
        <f>VLOOKUP(D11,Matches!$B$4:$K$113,9,0)</f>
        <v>Bosnië/Herz.</v>
      </c>
      <c r="G13" s="4"/>
      <c r="H13" s="45" t="str">
        <f>VLOOKUP(G11,Matches!$B$4:$K$113,8,0)</f>
        <v>Brazilië</v>
      </c>
      <c r="I13" s="46" t="str">
        <f>VLOOKUP(G11,Matches!$B$4:$K$113,9,0)</f>
        <v>Marokko</v>
      </c>
      <c r="J13" s="4"/>
      <c r="K13" s="45" t="str">
        <f>VLOOKUP(J11,Matches!$B$4:$K$113,8,0)</f>
        <v>USA</v>
      </c>
      <c r="L13" s="46" t="str">
        <f>VLOOKUP(J11,Matches!$B$4:$K$113,9,0)</f>
        <v>Paraguay</v>
      </c>
      <c r="M13" s="4"/>
      <c r="N13" s="45" t="str">
        <f>VLOOKUP(M11,Matches!$B$4:$K$113,8,0)</f>
        <v>Duitsland</v>
      </c>
      <c r="O13" s="46" t="str">
        <f>VLOOKUP(M11,Matches!$B$4:$K$113,9,0)</f>
        <v>Curacao</v>
      </c>
      <c r="P13" s="4"/>
      <c r="Q13" s="45" t="str">
        <f>VLOOKUP(P11,Matches!$B$4:$K$113,8,0)</f>
        <v>Nederland</v>
      </c>
      <c r="R13" s="46" t="str">
        <f>VLOOKUP(P11,Matches!$B$4:$K$113,9,0)</f>
        <v>Japan</v>
      </c>
      <c r="S13" s="4"/>
      <c r="T13" s="45" t="str">
        <f>VLOOKUP(S11,Matches!$B$4:$K$113,8,0)</f>
        <v>België</v>
      </c>
      <c r="U13" s="46" t="str">
        <f>VLOOKUP(S11,Matches!$B$4:$K$113,9,0)</f>
        <v>Egypte</v>
      </c>
      <c r="V13" s="4"/>
      <c r="W13" s="45" t="str">
        <f>VLOOKUP(V11,Matches!$B$4:$K$113,8,0)</f>
        <v>Spanje</v>
      </c>
      <c r="X13" s="46" t="str">
        <f>VLOOKUP(V11,Matches!$B$4:$K$113,9,0)</f>
        <v>Kaapverdië</v>
      </c>
      <c r="Y13" s="4"/>
      <c r="Z13" s="45" t="str">
        <f>VLOOKUP(Y11,Matches!$B$4:$K$113,8,0)</f>
        <v>Frankrijk</v>
      </c>
      <c r="AA13" s="46" t="str">
        <f>VLOOKUP(Y11,Matches!$B$4:$K$113,9,0)</f>
        <v>Senegal</v>
      </c>
      <c r="AB13" s="4"/>
      <c r="AC13" s="45" t="str">
        <f>VLOOKUP(AB11,Matches!$B$4:$K$113,8,0)</f>
        <v>Argentinië</v>
      </c>
      <c r="AD13" s="46" t="str">
        <f>VLOOKUP(AB11,Matches!$B$4:$K$113,9,0)</f>
        <v>Algerije</v>
      </c>
      <c r="AE13" s="4"/>
      <c r="AF13" s="45" t="str">
        <f>VLOOKUP(AE11,Matches!$B$4:$K$113,8,0)</f>
        <v>Portugal</v>
      </c>
      <c r="AG13" s="46" t="str">
        <f>VLOOKUP(AE11,Matches!$B$4:$K$113,9,0)</f>
        <v>Congo</v>
      </c>
      <c r="AH13" s="4"/>
      <c r="AI13" s="45" t="str">
        <f>VLOOKUP(AH11,Matches!$B$4:$K$113,8,0)</f>
        <v>Engeland</v>
      </c>
      <c r="AJ13" s="46" t="str">
        <f>VLOOKUP(AH11,Matches!$B$4:$K$113,9,0)</f>
        <v>Kroatië</v>
      </c>
      <c r="AK13" s="18"/>
      <c r="AL13" s="20"/>
      <c r="AM13" s="20"/>
      <c r="AN13" s="18"/>
      <c r="AO13" s="20"/>
      <c r="AP13" s="20"/>
      <c r="AQ13" s="18"/>
      <c r="AR13" s="20"/>
      <c r="AS13" s="20"/>
      <c r="AT13" s="18"/>
      <c r="AU13" s="20"/>
      <c r="AV13" s="20"/>
    </row>
    <row r="14" spans="1:52" ht="15.75" thickBot="1">
      <c r="A14" s="4"/>
      <c r="B14" s="1">
        <f>'NKC - WKpool 2026'!F3</f>
        <v>0</v>
      </c>
      <c r="C14" s="2">
        <f>'NKC - WKpool 2026'!H3</f>
        <v>0</v>
      </c>
      <c r="D14" s="4"/>
      <c r="E14" s="1">
        <f>'NKC - WKpool 2026'!F9</f>
        <v>0</v>
      </c>
      <c r="F14" s="2">
        <f>'NKC - WKpool 2026'!H9</f>
        <v>0</v>
      </c>
      <c r="G14" s="4"/>
      <c r="H14" s="1">
        <f>'NKC - WKpool 2026'!F15</f>
        <v>0</v>
      </c>
      <c r="I14" s="2">
        <f>'NKC - WKpool 2026'!H15</f>
        <v>0</v>
      </c>
      <c r="J14" s="4"/>
      <c r="K14" s="1">
        <f>'NKC - WKpool 2026'!F21</f>
        <v>0</v>
      </c>
      <c r="L14" s="2">
        <f>'NKC - WKpool 2026'!H21</f>
        <v>0</v>
      </c>
      <c r="M14" s="4"/>
      <c r="N14" s="1">
        <f>'NKC - WKpool 2026'!F27</f>
        <v>0</v>
      </c>
      <c r="O14" s="2">
        <f>'NKC - WKpool 2026'!H27</f>
        <v>0</v>
      </c>
      <c r="P14" s="4"/>
      <c r="Q14" s="1">
        <f>'NKC - WKpool 2026'!F33</f>
        <v>0</v>
      </c>
      <c r="R14" s="2">
        <f>'NKC - WKpool 2026'!H33</f>
        <v>0</v>
      </c>
      <c r="S14" s="4"/>
      <c r="T14" s="1">
        <f>'NKC - WKpool 2026'!F39</f>
        <v>0</v>
      </c>
      <c r="U14" s="2">
        <f>'NKC - WKpool 2026'!H39</f>
        <v>0</v>
      </c>
      <c r="V14" s="4"/>
      <c r="W14" s="1">
        <f>'NKC - WKpool 2026'!F45</f>
        <v>0</v>
      </c>
      <c r="X14" s="2">
        <f>'NKC - WKpool 2026'!H45</f>
        <v>0</v>
      </c>
      <c r="Y14" s="4"/>
      <c r="Z14" s="1">
        <f>'NKC - WKpool 2026'!F51</f>
        <v>0</v>
      </c>
      <c r="AA14" s="2">
        <f>'NKC - WKpool 2026'!H51</f>
        <v>0</v>
      </c>
      <c r="AB14" s="4"/>
      <c r="AC14" s="1">
        <f>'NKC - WKpool 2026'!F57</f>
        <v>0</v>
      </c>
      <c r="AD14" s="2">
        <f>'NKC - WKpool 2026'!H57</f>
        <v>0</v>
      </c>
      <c r="AE14" s="4"/>
      <c r="AF14" s="1">
        <f>'NKC - WKpool 2026'!F63</f>
        <v>0</v>
      </c>
      <c r="AG14" s="2">
        <f>'NKC - WKpool 2026'!H63</f>
        <v>0</v>
      </c>
      <c r="AH14" s="4"/>
      <c r="AI14" s="1">
        <f>'NKC - WKpool 2026'!F69</f>
        <v>0</v>
      </c>
      <c r="AJ14" s="2">
        <f>'NKC - WKpool 2026'!H69</f>
        <v>0</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274" t="str">
        <f>VLOOKUP(A16,Matches!$B$4:$K$113,7,0)</f>
        <v>Guadalajara</v>
      </c>
      <c r="C16" s="1275"/>
      <c r="D16" s="90">
        <v>8</v>
      </c>
      <c r="E16" s="1274" t="str">
        <f>VLOOKUP(D16,Matches!$B$4:$K$113,7,0)</f>
        <v>San Francisco Bay Area</v>
      </c>
      <c r="F16" s="1275"/>
      <c r="G16" s="90">
        <v>5</v>
      </c>
      <c r="H16" s="1274" t="str">
        <f>VLOOKUP(G16,Matches!$B$4:$K$113,7,0)</f>
        <v>Boston</v>
      </c>
      <c r="I16" s="1275"/>
      <c r="J16" s="90">
        <v>6</v>
      </c>
      <c r="K16" s="1274" t="str">
        <f>VLOOKUP(J16,Matches!$B$4:$K$113,7,0)</f>
        <v>Vancouver</v>
      </c>
      <c r="L16" s="1275"/>
      <c r="M16" s="90">
        <v>9</v>
      </c>
      <c r="N16" s="1274" t="str">
        <f>VLOOKUP(M16,Matches!$B$4:$K$113,7,0)</f>
        <v>Philadelphia</v>
      </c>
      <c r="O16" s="1275"/>
      <c r="P16" s="90">
        <v>12</v>
      </c>
      <c r="Q16" s="1274" t="str">
        <f>VLOOKUP(P16,Matches!$B$4:$K$113,7,0)</f>
        <v>Monterrey</v>
      </c>
      <c r="R16" s="1275"/>
      <c r="S16" s="90">
        <v>15</v>
      </c>
      <c r="T16" s="1274" t="str">
        <f>VLOOKUP(S16,Matches!$B$4:$K$113,7,0)</f>
        <v>Los Angeles</v>
      </c>
      <c r="U16" s="1275"/>
      <c r="V16" s="90">
        <v>13</v>
      </c>
      <c r="W16" s="1274" t="str">
        <f>VLOOKUP(V16,Matches!$B$4:$K$113,7,0)</f>
        <v>Miami</v>
      </c>
      <c r="X16" s="1275"/>
      <c r="Y16" s="90">
        <v>18</v>
      </c>
      <c r="Z16" s="1274" t="str">
        <f>VLOOKUP(Y16,Matches!$B$4:$K$113,7,0)</f>
        <v>Boston</v>
      </c>
      <c r="AA16" s="1275"/>
      <c r="AB16" s="90">
        <v>20</v>
      </c>
      <c r="AC16" s="1274" t="str">
        <f>VLOOKUP(AB16,Matches!$B$4:$K$113,7,0)</f>
        <v>San Francisco Bay Area</v>
      </c>
      <c r="AD16" s="1275"/>
      <c r="AE16" s="90">
        <v>24</v>
      </c>
      <c r="AF16" s="1274" t="str">
        <f>VLOOKUP(AE16,Matches!$B$4:$K$113,7,0)</f>
        <v>Mexico City</v>
      </c>
      <c r="AG16" s="1275"/>
      <c r="AH16" s="90">
        <v>21</v>
      </c>
      <c r="AI16" s="1274" t="str">
        <f>VLOOKUP(AH16,Matches!$B$4:$K$113,7,0)</f>
        <v>Toronto</v>
      </c>
      <c r="AJ16" s="1275"/>
      <c r="AK16" s="426"/>
      <c r="AL16" s="431"/>
      <c r="AM16" s="431"/>
      <c r="AN16" s="426"/>
      <c r="AO16" s="431"/>
      <c r="AP16" s="431"/>
      <c r="AQ16" s="426"/>
      <c r="AR16" s="431"/>
      <c r="AS16" s="431"/>
      <c r="AT16" s="426"/>
      <c r="AU16" s="431"/>
      <c r="AV16" s="431"/>
    </row>
    <row r="17" spans="1:48">
      <c r="A17" s="4"/>
      <c r="B17" s="1265">
        <f>VLOOKUP(A16,Matches!$B$4:$K$113,5,0)</f>
        <v>46185.166666666664</v>
      </c>
      <c r="C17" s="1266"/>
      <c r="D17" s="4"/>
      <c r="E17" s="1265">
        <f>VLOOKUP(D16,Matches!$B$4:$K$113,5,0)</f>
        <v>46186.875</v>
      </c>
      <c r="F17" s="1266"/>
      <c r="G17" s="4"/>
      <c r="H17" s="1265">
        <f>VLOOKUP(G16,Matches!$B$4:$K$113,5,0)</f>
        <v>46187.125</v>
      </c>
      <c r="I17" s="1266"/>
      <c r="J17" s="4"/>
      <c r="K17" s="1265">
        <f>VLOOKUP(J16,Matches!$B$4:$K$113,5,0)</f>
        <v>46187.25</v>
      </c>
      <c r="L17" s="1266"/>
      <c r="M17" s="4"/>
      <c r="N17" s="1265">
        <f>VLOOKUP(M16,Matches!$B$4:$K$113,5,0)</f>
        <v>46188.041666666664</v>
      </c>
      <c r="O17" s="1266"/>
      <c r="P17" s="4"/>
      <c r="Q17" s="1265">
        <f>VLOOKUP(P16,Matches!$B$4:$K$113,5,0)</f>
        <v>46188.166666666664</v>
      </c>
      <c r="R17" s="1266"/>
      <c r="S17" s="4"/>
      <c r="T17" s="1265">
        <f>VLOOKUP(S16,Matches!$B$4:$K$113,5,0)</f>
        <v>46189.125</v>
      </c>
      <c r="U17" s="1266"/>
      <c r="V17" s="4"/>
      <c r="W17" s="1265">
        <f>VLOOKUP(V16,Matches!$B$4:$K$113,5,0)</f>
        <v>46189</v>
      </c>
      <c r="X17" s="1266"/>
      <c r="Y17" s="4"/>
      <c r="Z17" s="1265">
        <f>VLOOKUP(Y16,Matches!$B$4:$K$113,5,0)</f>
        <v>46190</v>
      </c>
      <c r="AA17" s="1266"/>
      <c r="AB17" s="4"/>
      <c r="AC17" s="1265">
        <f>VLOOKUP(AB16,Matches!$B$4:$K$113,5,0)</f>
        <v>46190.25</v>
      </c>
      <c r="AD17" s="1266"/>
      <c r="AE17" s="4"/>
      <c r="AF17" s="1265">
        <f>VLOOKUP(AE16,Matches!$B$4:$K$113,5,0)</f>
        <v>46191.166666666664</v>
      </c>
      <c r="AG17" s="1266"/>
      <c r="AH17" s="4"/>
      <c r="AI17" s="1265">
        <f>VLOOKUP(AH16,Matches!$B$4:$K$113,5,0)</f>
        <v>46191.041666666664</v>
      </c>
      <c r="AJ17" s="1266"/>
      <c r="AK17" s="18"/>
      <c r="AL17" s="432"/>
      <c r="AM17" s="432"/>
      <c r="AN17" s="18"/>
      <c r="AO17" s="432"/>
      <c r="AP17" s="432"/>
      <c r="AQ17" s="18"/>
      <c r="AR17" s="432"/>
      <c r="AS17" s="432"/>
      <c r="AT17" s="18"/>
      <c r="AU17" s="432"/>
      <c r="AV17" s="432"/>
    </row>
    <row r="18" spans="1:48">
      <c r="A18" s="4"/>
      <c r="B18" s="45" t="str">
        <f>VLOOKUP(A16,Matches!$B$4:$K$113,8,0)</f>
        <v>Zuid-Korea</v>
      </c>
      <c r="C18" s="46" t="str">
        <f>VLOOKUP(A16,Matches!$B$4:$K$113,9,0)</f>
        <v>Tsjechië</v>
      </c>
      <c r="D18" s="4"/>
      <c r="E18" s="45" t="str">
        <f>VLOOKUP(D16,Matches!$B$4:$K$113,8,0)</f>
        <v>Qatar</v>
      </c>
      <c r="F18" s="46" t="str">
        <f>VLOOKUP(D16,Matches!$B$4:$K$113,9,0)</f>
        <v>Zwitserland</v>
      </c>
      <c r="G18" s="4"/>
      <c r="H18" s="45" t="str">
        <f>VLOOKUP(G16,Matches!$B$4:$K$113,8,0)</f>
        <v>Haïti</v>
      </c>
      <c r="I18" s="46" t="str">
        <f>VLOOKUP(G16,Matches!$B$4:$K$113,9,0)</f>
        <v>Schotland</v>
      </c>
      <c r="J18" s="4"/>
      <c r="K18" s="45" t="str">
        <f>VLOOKUP(J16,Matches!$B$4:$K$113,8,0)</f>
        <v>Australië</v>
      </c>
      <c r="L18" s="46" t="str">
        <f>VLOOKUP(J16,Matches!$B$4:$K$113,9,0)</f>
        <v>Turkije</v>
      </c>
      <c r="M18" s="4"/>
      <c r="N18" s="45" t="str">
        <f>VLOOKUP(M16,Matches!$B$4:$K$113,8,0)</f>
        <v>Ivoorkust</v>
      </c>
      <c r="O18" s="46" t="str">
        <f>VLOOKUP(M16,Matches!$B$4:$K$113,9,0)</f>
        <v>Ecuador</v>
      </c>
      <c r="P18" s="4"/>
      <c r="Q18" s="45" t="str">
        <f>VLOOKUP(P16,Matches!$B$4:$K$113,8,0)</f>
        <v>Zweden</v>
      </c>
      <c r="R18" s="46" t="str">
        <f>VLOOKUP(P16,Matches!$B$4:$K$113,9,0)</f>
        <v>Tunesië</v>
      </c>
      <c r="S18" s="4"/>
      <c r="T18" s="45" t="str">
        <f>VLOOKUP(S16,Matches!$B$4:$K$113,8,0)</f>
        <v>Iran</v>
      </c>
      <c r="U18" s="46" t="str">
        <f>VLOOKUP(S16,Matches!$B$4:$K$113,9,0)</f>
        <v>Nieuw-Zeeland</v>
      </c>
      <c r="V18" s="4"/>
      <c r="W18" s="45" t="str">
        <f>VLOOKUP(V16,Matches!$B$4:$K$113,8,0)</f>
        <v>Saoedi-Arabië</v>
      </c>
      <c r="X18" s="46" t="str">
        <f>VLOOKUP(V16,Matches!$B$4:$K$113,9,0)</f>
        <v>Uruguay</v>
      </c>
      <c r="Y18" s="4"/>
      <c r="Z18" s="45" t="str">
        <f>VLOOKUP(Y16,Matches!$B$4:$K$113,8,0)</f>
        <v>Irak</v>
      </c>
      <c r="AA18" s="46" t="str">
        <f>VLOOKUP(Y16,Matches!$B$4:$K$113,9,0)</f>
        <v>Noorwegen</v>
      </c>
      <c r="AB18" s="4"/>
      <c r="AC18" s="45" t="str">
        <f>VLOOKUP(AB16,Matches!$B$4:$K$113,8,0)</f>
        <v>Oostenrijk</v>
      </c>
      <c r="AD18" s="46" t="str">
        <f>VLOOKUP(AB16,Matches!$B$4:$K$113,9,0)</f>
        <v>Jordanië</v>
      </c>
      <c r="AE18" s="4"/>
      <c r="AF18" s="45" t="str">
        <f>VLOOKUP(AE16,Matches!$B$4:$K$113,8,0)</f>
        <v>Oezbekistan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c r="A19" s="4"/>
      <c r="B19" s="1">
        <f>'NKC - WKpool 2026'!F4</f>
        <v>0</v>
      </c>
      <c r="C19" s="2">
        <f>'NKC - WKpool 2026'!H4</f>
        <v>0</v>
      </c>
      <c r="D19" s="4"/>
      <c r="E19" s="1">
        <f>'NKC - WKpool 2026'!F10</f>
        <v>0</v>
      </c>
      <c r="F19" s="2">
        <f>'NKC - WKpool 2026'!H10</f>
        <v>0</v>
      </c>
      <c r="G19" s="4"/>
      <c r="H19" s="1">
        <f>'NKC - WKpool 2026'!F16</f>
        <v>0</v>
      </c>
      <c r="I19" s="2">
        <f>'NKC - WKpool 2026'!H16</f>
        <v>0</v>
      </c>
      <c r="J19" s="4"/>
      <c r="K19" s="1">
        <f>'NKC - WKpool 2026'!F22</f>
        <v>0</v>
      </c>
      <c r="L19" s="2">
        <f>'NKC - WKpool 2026'!H22</f>
        <v>0</v>
      </c>
      <c r="M19" s="4"/>
      <c r="N19" s="1">
        <f>'NKC - WKpool 2026'!F28</f>
        <v>0</v>
      </c>
      <c r="O19" s="2">
        <f>'NKC - WKpool 2026'!H28</f>
        <v>0</v>
      </c>
      <c r="P19" s="4"/>
      <c r="Q19" s="1">
        <f>'NKC - WKpool 2026'!F34</f>
        <v>0</v>
      </c>
      <c r="R19" s="2">
        <f>'NKC - WKpool 2026'!H34</f>
        <v>0</v>
      </c>
      <c r="S19" s="4"/>
      <c r="T19" s="1">
        <f>'NKC - WKpool 2026'!F40</f>
        <v>0</v>
      </c>
      <c r="U19" s="2">
        <f>'NKC - WKpool 2026'!H40</f>
        <v>0</v>
      </c>
      <c r="V19" s="4"/>
      <c r="W19" s="1">
        <f>'NKC - WKpool 2026'!F46</f>
        <v>0</v>
      </c>
      <c r="X19" s="2">
        <f>'NKC - WKpool 2026'!H46</f>
        <v>0</v>
      </c>
      <c r="Y19" s="4"/>
      <c r="Z19" s="1">
        <f>'NKC - WKpool 2026'!F52</f>
        <v>0</v>
      </c>
      <c r="AA19" s="2">
        <f>'NKC - WKpool 2026'!H52</f>
        <v>0</v>
      </c>
      <c r="AB19" s="4"/>
      <c r="AC19" s="1">
        <f>'NKC - WKpool 2026'!F58</f>
        <v>0</v>
      </c>
      <c r="AD19" s="2">
        <f>'NKC - WKpool 2026'!H58</f>
        <v>0</v>
      </c>
      <c r="AE19" s="4"/>
      <c r="AF19" s="1">
        <f>'NKC - WKpool 2026'!F64</f>
        <v>0</v>
      </c>
      <c r="AG19" s="2">
        <f>'NKC - WKpool 2026'!H64</f>
        <v>0</v>
      </c>
      <c r="AH19" s="4"/>
      <c r="AI19" s="1">
        <f>'NKC - WKpool 2026'!F70</f>
        <v>0</v>
      </c>
      <c r="AJ19" s="2">
        <f>'NKC - WKpool 2026'!H70</f>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274" t="str">
        <f>VLOOKUP(A21,Matches!$B$4:$K$113,7,0)</f>
        <v>Atlanta</v>
      </c>
      <c r="C21" s="1275"/>
      <c r="D21" s="90">
        <v>26</v>
      </c>
      <c r="E21" s="1274" t="str">
        <f>VLOOKUP(D21,Matches!$B$4:$K$113,7,0)</f>
        <v>Los Angeles</v>
      </c>
      <c r="F21" s="1275"/>
      <c r="G21" s="90">
        <v>30</v>
      </c>
      <c r="H21" s="1274" t="str">
        <f>VLOOKUP(G21,Matches!$B$4:$K$113,7,0)</f>
        <v>Boston</v>
      </c>
      <c r="I21" s="1275"/>
      <c r="J21" s="90">
        <v>32</v>
      </c>
      <c r="K21" s="1274" t="str">
        <f>VLOOKUP(J21,Matches!$B$4:$K$113,7,0)</f>
        <v>Seattle</v>
      </c>
      <c r="L21" s="1275"/>
      <c r="M21" s="90">
        <v>33</v>
      </c>
      <c r="N21" s="1274" t="str">
        <f>VLOOKUP(M21,Matches!$B$4:$K$113,7,0)</f>
        <v>Toronto</v>
      </c>
      <c r="O21" s="1275"/>
      <c r="P21" s="90">
        <v>35</v>
      </c>
      <c r="Q21" s="1274" t="str">
        <f>VLOOKUP(P21,Matches!$B$4:$K$113,7,0)</f>
        <v>Houston</v>
      </c>
      <c r="R21" s="1275"/>
      <c r="S21" s="90">
        <v>39</v>
      </c>
      <c r="T21" s="1274" t="str">
        <f>VLOOKUP(S21,Matches!$B$4:$K$113,7,0)</f>
        <v>Los Angeles</v>
      </c>
      <c r="U21" s="1275"/>
      <c r="V21" s="90">
        <v>38</v>
      </c>
      <c r="W21" s="1274" t="str">
        <f>VLOOKUP(V21,Matches!$B$4:$K$113,7,0)</f>
        <v>Atlanta</v>
      </c>
      <c r="X21" s="1275"/>
      <c r="Y21" s="90">
        <v>42</v>
      </c>
      <c r="Z21" s="1274" t="str">
        <f>VLOOKUP(Y21,Matches!$B$4:$K$113,7,0)</f>
        <v>Philadelphia</v>
      </c>
      <c r="AA21" s="1275"/>
      <c r="AB21" s="90">
        <v>43</v>
      </c>
      <c r="AC21" s="1274" t="str">
        <f>VLOOKUP(AB21,Matches!$B$4:$K$113,7,0)</f>
        <v>Dallas</v>
      </c>
      <c r="AD21" s="1275"/>
      <c r="AE21" s="90">
        <v>47</v>
      </c>
      <c r="AF21" s="1274" t="str">
        <f>VLOOKUP(AE21,Matches!$B$4:$K$113,7,0)</f>
        <v>Houston</v>
      </c>
      <c r="AG21" s="1275"/>
      <c r="AH21" s="90">
        <v>45</v>
      </c>
      <c r="AI21" s="1274" t="str">
        <f>VLOOKUP(AH21,Matches!$B$4:$K$113,7,0)</f>
        <v>Boston</v>
      </c>
      <c r="AJ21" s="1275"/>
      <c r="AK21" s="426"/>
      <c r="AL21" s="431"/>
      <c r="AM21" s="431"/>
      <c r="AN21" s="426"/>
      <c r="AO21" s="431"/>
      <c r="AP21" s="431"/>
      <c r="AQ21" s="426"/>
      <c r="AR21" s="431"/>
      <c r="AS21" s="431"/>
      <c r="AT21" s="426"/>
      <c r="AU21" s="431"/>
      <c r="AV21" s="431"/>
    </row>
    <row r="22" spans="1:48">
      <c r="A22" s="4"/>
      <c r="B22" s="1265">
        <f>VLOOKUP(A21,Matches!$B$4:$K$113,5,0)</f>
        <v>46191.75</v>
      </c>
      <c r="C22" s="1266"/>
      <c r="D22" s="4"/>
      <c r="E22" s="1265">
        <f>VLOOKUP(D21,Matches!$B$4:$K$113,5,0)</f>
        <v>46191.875</v>
      </c>
      <c r="F22" s="1266"/>
      <c r="G22" s="4"/>
      <c r="H22" s="1265">
        <f>VLOOKUP(G21,Matches!$B$4:$K$113,5,0)</f>
        <v>46193</v>
      </c>
      <c r="I22" s="1266"/>
      <c r="J22" s="4"/>
      <c r="K22" s="1265">
        <f>VLOOKUP(J21,Matches!$B$4:$K$113,5,0)</f>
        <v>46192.875</v>
      </c>
      <c r="L22" s="1266"/>
      <c r="M22" s="4"/>
      <c r="N22" s="1265">
        <f>VLOOKUP(M21,Matches!$B$4:$K$113,5,0)</f>
        <v>46193.916666666664</v>
      </c>
      <c r="O22" s="1266"/>
      <c r="P22" s="4"/>
      <c r="Q22" s="1265">
        <f>VLOOKUP(P21,Matches!$B$4:$K$113,5,0)</f>
        <v>46193.791666666664</v>
      </c>
      <c r="R22" s="1266"/>
      <c r="S22" s="4"/>
      <c r="T22" s="1265">
        <f>VLOOKUP(S21,Matches!$B$4:$K$113,5,0)</f>
        <v>46194.875</v>
      </c>
      <c r="U22" s="1266"/>
      <c r="V22" s="4"/>
      <c r="W22" s="1265">
        <f>VLOOKUP(V21,Matches!$B$4:$K$113,5,0)</f>
        <v>46194.75</v>
      </c>
      <c r="X22" s="1266"/>
      <c r="Y22" s="4"/>
      <c r="Z22" s="1265">
        <f>VLOOKUP(Y21,Matches!$B$4:$K$113,5,0)</f>
        <v>46195.958333333336</v>
      </c>
      <c r="AA22" s="1266"/>
      <c r="AB22" s="4"/>
      <c r="AC22" s="1265">
        <f>VLOOKUP(AB21,Matches!$B$4:$K$113,5,0)</f>
        <v>46195.791666666664</v>
      </c>
      <c r="AD22" s="1266"/>
      <c r="AE22" s="4"/>
      <c r="AF22" s="1265">
        <f>VLOOKUP(AE21,Matches!$B$4:$K$113,5,0)</f>
        <v>46196.791666666664</v>
      </c>
      <c r="AG22" s="1266"/>
      <c r="AH22" s="4"/>
      <c r="AI22" s="1265">
        <f>VLOOKUP(AH21,Matches!$B$4:$K$113,5,0)</f>
        <v>46196.916666666664</v>
      </c>
      <c r="AJ22" s="1266"/>
      <c r="AK22" s="18"/>
      <c r="AL22" s="432"/>
      <c r="AM22" s="432"/>
      <c r="AN22" s="18"/>
      <c r="AO22" s="432"/>
      <c r="AP22" s="432"/>
      <c r="AQ22" s="18"/>
      <c r="AR22" s="432"/>
      <c r="AS22" s="432"/>
      <c r="AT22" s="18"/>
      <c r="AU22" s="432"/>
      <c r="AV22" s="432"/>
    </row>
    <row r="23" spans="1:48">
      <c r="A23" s="4"/>
      <c r="B23" s="45" t="str">
        <f>VLOOKUP(A21,Matches!$B$4:$K$113,8,0)</f>
        <v>Tsjechië</v>
      </c>
      <c r="C23" s="46" t="str">
        <f>VLOOKUP(A21,Matches!$B$4:$K$113,9,0)</f>
        <v>Zuid-Afrika</v>
      </c>
      <c r="D23" s="4"/>
      <c r="E23" s="45" t="str">
        <f>VLOOKUP(D21,Matches!$B$4:$K$113,8,0)</f>
        <v>Zwitserland</v>
      </c>
      <c r="F23" s="46" t="str">
        <f>VLOOKUP(D21,Matches!$B$4:$K$113,9,0)</f>
        <v>Bosnië/Herz.</v>
      </c>
      <c r="G23" s="4"/>
      <c r="H23" s="45" t="str">
        <f>VLOOKUP(G21,Matches!$B$4:$K$113,8,0)</f>
        <v>Schotland</v>
      </c>
      <c r="I23" s="46" t="str">
        <f>VLOOKUP(G21,Matches!$B$4:$K$113,9,0)</f>
        <v>Marokko</v>
      </c>
      <c r="J23" s="4"/>
      <c r="K23" s="45" t="str">
        <f>VLOOKUP(J21,Matches!$B$4:$K$113,8,0)</f>
        <v>USA</v>
      </c>
      <c r="L23" s="46" t="str">
        <f>VLOOKUP(J21,Matches!$B$4:$K$113,9,0)</f>
        <v>Australië</v>
      </c>
      <c r="M23" s="4"/>
      <c r="N23" s="45" t="str">
        <f>VLOOKUP(M21,Matches!$B$4:$K$113,8,0)</f>
        <v>Duitsland</v>
      </c>
      <c r="O23" s="46" t="str">
        <f>VLOOKUP(M21,Matches!$B$4:$K$113,9,0)</f>
        <v>Ivoorkust</v>
      </c>
      <c r="P23" s="4"/>
      <c r="Q23" s="45" t="str">
        <f>VLOOKUP(P21,Matches!$B$4:$K$113,8,0)</f>
        <v>Nederland</v>
      </c>
      <c r="R23" s="46" t="str">
        <f>VLOOKUP(P21,Matches!$B$4:$K$113,9,0)</f>
        <v>Zweden</v>
      </c>
      <c r="S23" s="4"/>
      <c r="T23" s="45" t="str">
        <f>VLOOKUP(S21,Matches!$B$4:$K$113,8,0)</f>
        <v>België</v>
      </c>
      <c r="U23" s="46" t="str">
        <f>VLOOKUP(S21,Matches!$B$4:$K$113,9,0)</f>
        <v>Iran</v>
      </c>
      <c r="V23" s="4"/>
      <c r="W23" s="45" t="str">
        <f>VLOOKUP(V21,Matches!$B$4:$K$113,8,0)</f>
        <v>Spanje</v>
      </c>
      <c r="X23" s="46" t="str">
        <f>VLOOKUP(V21,Matches!$B$4:$K$113,9,0)</f>
        <v>Saoedi-Arabië</v>
      </c>
      <c r="Y23" s="4"/>
      <c r="Z23" s="45" t="str">
        <f>VLOOKUP(Y21,Matches!$B$4:$K$113,8,0)</f>
        <v>Frankrijk</v>
      </c>
      <c r="AA23" s="46" t="str">
        <f>VLOOKUP(Y21,Matches!$B$4:$K$113,9,0)</f>
        <v>Irak</v>
      </c>
      <c r="AB23" s="4"/>
      <c r="AC23" s="45" t="str">
        <f>VLOOKUP(AB21,Matches!$B$4:$K$113,8,0)</f>
        <v>Argentinië</v>
      </c>
      <c r="AD23" s="46" t="str">
        <f>VLOOKUP(AB21,Matches!$B$4:$K$113,9,0)</f>
        <v>Oostenrijk</v>
      </c>
      <c r="AE23" s="4"/>
      <c r="AF23" s="45" t="str">
        <f>VLOOKUP(AE21,Matches!$B$4:$K$113,8,0)</f>
        <v>Portugal</v>
      </c>
      <c r="AG23" s="46" t="str">
        <f>VLOOKUP(AE21,Matches!$B$4:$K$113,9,0)</f>
        <v>Oezbekistan</v>
      </c>
      <c r="AH23" s="4"/>
      <c r="AI23" s="45" t="str">
        <f>VLOOKUP(AH21,Matches!$B$4:$K$113,8,0)</f>
        <v>Engeland</v>
      </c>
      <c r="AJ23" s="46" t="str">
        <f>VLOOKUP(AH21,Matches!$B$4:$K$113,9,0)</f>
        <v>Ghana</v>
      </c>
      <c r="AK23" s="18"/>
      <c r="AL23" s="20"/>
      <c r="AM23" s="20"/>
      <c r="AN23" s="18"/>
      <c r="AO23" s="20"/>
      <c r="AP23" s="20"/>
      <c r="AQ23" s="18"/>
      <c r="AR23" s="20"/>
      <c r="AS23" s="20"/>
      <c r="AT23" s="18"/>
      <c r="AU23" s="20"/>
      <c r="AV23" s="20"/>
    </row>
    <row r="24" spans="1:48" ht="15.75" thickBot="1">
      <c r="A24" s="4"/>
      <c r="B24" s="1">
        <f>'NKC - WKpool 2026'!F6</f>
        <v>0</v>
      </c>
      <c r="C24" s="2">
        <f>'NKC - WKpool 2026'!H6</f>
        <v>0</v>
      </c>
      <c r="D24" s="4"/>
      <c r="E24" s="1">
        <f>'NKC - WKpool 2026'!F12</f>
        <v>0</v>
      </c>
      <c r="F24" s="2">
        <f>'NKC - WKpool 2026'!H12</f>
        <v>0</v>
      </c>
      <c r="G24" s="4"/>
      <c r="H24" s="1">
        <f>'NKC - WKpool 2026'!F18</f>
        <v>0</v>
      </c>
      <c r="I24" s="2">
        <f>'NKC - WKpool 2026'!H18</f>
        <v>0</v>
      </c>
      <c r="J24" s="4"/>
      <c r="K24" s="1">
        <f>'NKC - WKpool 2026'!F23</f>
        <v>0</v>
      </c>
      <c r="L24" s="2">
        <f>'NKC - WKpool 2026'!H23</f>
        <v>0</v>
      </c>
      <c r="M24" s="4"/>
      <c r="N24" s="1">
        <f>'NKC - WKpool 2026'!F29</f>
        <v>0</v>
      </c>
      <c r="O24" s="2">
        <f>'NKC - WKpool 2026'!H29</f>
        <v>0</v>
      </c>
      <c r="P24" s="4"/>
      <c r="Q24" s="1">
        <f>'NKC - WKpool 2026'!F35</f>
        <v>0</v>
      </c>
      <c r="R24" s="2">
        <f>'NKC - WKpool 2026'!H35</f>
        <v>0</v>
      </c>
      <c r="S24" s="4"/>
      <c r="T24" s="1">
        <f>'NKC - WKpool 2026'!F41</f>
        <v>0</v>
      </c>
      <c r="U24" s="2">
        <f>'NKC - WKpool 2026'!H41</f>
        <v>0</v>
      </c>
      <c r="V24" s="4"/>
      <c r="W24" s="1">
        <f>'NKC - WKpool 2026'!F47</f>
        <v>0</v>
      </c>
      <c r="X24" s="2">
        <f>'NKC - WKpool 2026'!H47</f>
        <v>0</v>
      </c>
      <c r="Y24" s="4"/>
      <c r="Z24" s="1">
        <f>'NKC - WKpool 2026'!F53</f>
        <v>0</v>
      </c>
      <c r="AA24" s="2">
        <f>'NKC - WKpool 2026'!H53</f>
        <v>0</v>
      </c>
      <c r="AB24" s="4"/>
      <c r="AC24" s="1">
        <f>'NKC - WKpool 2026'!F59</f>
        <v>0</v>
      </c>
      <c r="AD24" s="2">
        <f>'NKC - WKpool 2026'!H59</f>
        <v>0</v>
      </c>
      <c r="AE24" s="4"/>
      <c r="AF24" s="1">
        <f>'NKC - WKpool 2026'!F65</f>
        <v>0</v>
      </c>
      <c r="AG24" s="2">
        <f>'NKC - WKpool 2026'!H65</f>
        <v>0</v>
      </c>
      <c r="AH24" s="4"/>
      <c r="AI24" s="1">
        <f>'NKC - WKpool 2026'!F71</f>
        <v>0</v>
      </c>
      <c r="AJ24" s="2">
        <f>'NKC - WKpool 2026'!H71</f>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274" t="str">
        <f>VLOOKUP(A26,Matches!$B$4:$K$113,7,0)</f>
        <v>Guadalajara</v>
      </c>
      <c r="C26" s="1275"/>
      <c r="D26" s="90">
        <v>27</v>
      </c>
      <c r="E26" s="1274" t="str">
        <f>VLOOKUP(D26,Matches!$B$4:$K$113,7,0)</f>
        <v>Vancouver</v>
      </c>
      <c r="F26" s="1275"/>
      <c r="G26" s="90">
        <v>29</v>
      </c>
      <c r="H26" s="1274" t="str">
        <f>VLOOKUP(G26,Matches!$B$4:$K$113,7,0)</f>
        <v>Philadelphia</v>
      </c>
      <c r="I26" s="1275"/>
      <c r="J26" s="90">
        <v>31</v>
      </c>
      <c r="K26" s="1274" t="str">
        <f>VLOOKUP(J26,Matches!$B$4:$K$113,7,0)</f>
        <v>San Francisco Bay Area</v>
      </c>
      <c r="L26" s="1275"/>
      <c r="M26" s="90">
        <v>34</v>
      </c>
      <c r="N26" s="1274" t="str">
        <f>VLOOKUP(M26,Matches!$B$4:$K$113,7,0)</f>
        <v>Kansas City</v>
      </c>
      <c r="O26" s="1275"/>
      <c r="P26" s="90">
        <v>36</v>
      </c>
      <c r="Q26" s="1274" t="str">
        <f>VLOOKUP(P26,Matches!$B$4:$K$113,7,0)</f>
        <v>Monterrey</v>
      </c>
      <c r="R26" s="1275"/>
      <c r="S26" s="90">
        <v>40</v>
      </c>
      <c r="T26" s="1274" t="str">
        <f>VLOOKUP(S26,Matches!$B$4:$K$113,7,0)</f>
        <v>Vancouver</v>
      </c>
      <c r="U26" s="1275"/>
      <c r="V26" s="90">
        <v>37</v>
      </c>
      <c r="W26" s="1274" t="str">
        <f>VLOOKUP(V26,Matches!$B$4:$K$113,7,0)</f>
        <v>Miami</v>
      </c>
      <c r="X26" s="1275"/>
      <c r="Y26" s="90">
        <v>41</v>
      </c>
      <c r="Z26" s="1274" t="str">
        <f>VLOOKUP(Y26,Matches!$B$4:$K$113,7,0)</f>
        <v>New York/New Jersey</v>
      </c>
      <c r="AA26" s="1275"/>
      <c r="AB26" s="90">
        <v>44</v>
      </c>
      <c r="AC26" s="1274" t="str">
        <f>VLOOKUP(AB26,Matches!$B$4:$K$113,7,0)</f>
        <v>San Francisco Bay Area</v>
      </c>
      <c r="AD26" s="1275"/>
      <c r="AE26" s="90">
        <v>48</v>
      </c>
      <c r="AF26" s="1274" t="str">
        <f>VLOOKUP(AE26,Matches!$B$4:$K$113,7,0)</f>
        <v>Guadalajara</v>
      </c>
      <c r="AG26" s="1275"/>
      <c r="AH26" s="90">
        <v>46</v>
      </c>
      <c r="AI26" s="1274" t="str">
        <f>VLOOKUP(AH26,Matches!$B$4:$K$113,7,0)</f>
        <v>Toronto</v>
      </c>
      <c r="AJ26" s="1275"/>
      <c r="AK26" s="426"/>
      <c r="AL26" s="431"/>
      <c r="AM26" s="431"/>
      <c r="AN26" s="426"/>
      <c r="AO26" s="431"/>
      <c r="AP26" s="431"/>
      <c r="AQ26" s="426"/>
      <c r="AR26" s="431"/>
      <c r="AS26" s="431"/>
      <c r="AT26" s="426"/>
      <c r="AU26" s="431"/>
      <c r="AV26" s="431"/>
    </row>
    <row r="27" spans="1:48">
      <c r="A27" s="4"/>
      <c r="B27" s="1265">
        <f>VLOOKUP(A26,Matches!$B$4:$K$113,5,0)</f>
        <v>46192.125</v>
      </c>
      <c r="C27" s="1266"/>
      <c r="D27" s="4"/>
      <c r="E27" s="1265">
        <f>VLOOKUP(D26,Matches!$B$4:$K$113,5,0)</f>
        <v>46192</v>
      </c>
      <c r="F27" s="1266"/>
      <c r="G27" s="4"/>
      <c r="H27" s="1265">
        <f>VLOOKUP(G26,Matches!$B$4:$K$113,5,0)</f>
        <v>46193.125</v>
      </c>
      <c r="I27" s="1266"/>
      <c r="J27" s="4"/>
      <c r="K27" s="1265">
        <f>VLOOKUP(J26,Matches!$B$4:$K$113,5,0)</f>
        <v>46193.25</v>
      </c>
      <c r="L27" s="1266"/>
      <c r="M27" s="4"/>
      <c r="N27" s="1265">
        <f>VLOOKUP(M26,Matches!$B$4:$K$113,5,0)</f>
        <v>46194.083333333336</v>
      </c>
      <c r="O27" s="1266"/>
      <c r="P27" s="4"/>
      <c r="Q27" s="1265">
        <f>VLOOKUP(P26,Matches!$B$4:$K$113,5,0)</f>
        <v>46194.25</v>
      </c>
      <c r="R27" s="1266"/>
      <c r="S27" s="4"/>
      <c r="T27" s="1265">
        <f>VLOOKUP(S26,Matches!$B$4:$K$113,5,0)</f>
        <v>46195.125</v>
      </c>
      <c r="U27" s="1266"/>
      <c r="V27" s="4"/>
      <c r="W27" s="1265">
        <f>VLOOKUP(V26,Matches!$B$4:$K$113,5,0)</f>
        <v>46195</v>
      </c>
      <c r="X27" s="1266"/>
      <c r="Y27" s="4"/>
      <c r="Z27" s="1265">
        <f>VLOOKUP(Y26,Matches!$B$4:$K$113,5,0)</f>
        <v>46196.083333333336</v>
      </c>
      <c r="AA27" s="1266"/>
      <c r="AB27" s="4"/>
      <c r="AC27" s="1265">
        <f>VLOOKUP(AB26,Matches!$B$4:$K$113,5,0)</f>
        <v>46196.208333333336</v>
      </c>
      <c r="AD27" s="1266"/>
      <c r="AE27" s="4"/>
      <c r="AF27" s="1265">
        <f>VLOOKUP(AE26,Matches!$B$4:$K$113,5,0)</f>
        <v>46197.166666666664</v>
      </c>
      <c r="AG27" s="1266"/>
      <c r="AH27" s="4"/>
      <c r="AI27" s="1265">
        <f>VLOOKUP(AH26,Matches!$B$4:$K$113,5,0)</f>
        <v>46197.041666666664</v>
      </c>
      <c r="AJ27" s="1266"/>
      <c r="AK27" s="18"/>
      <c r="AL27" s="432"/>
      <c r="AM27" s="432"/>
      <c r="AN27" s="18"/>
      <c r="AO27" s="432"/>
      <c r="AP27" s="432"/>
      <c r="AQ27" s="18"/>
      <c r="AR27" s="432"/>
      <c r="AS27" s="432"/>
      <c r="AT27" s="18"/>
      <c r="AU27" s="432"/>
      <c r="AV27" s="432"/>
    </row>
    <row r="28" spans="1:48">
      <c r="A28" s="4"/>
      <c r="B28" s="45" t="str">
        <f>VLOOKUP(A26,Matches!$B$4:$K$113,8,0)</f>
        <v>Mexico</v>
      </c>
      <c r="C28" s="46" t="str">
        <f>VLOOKUP(A26,Matches!$B$4:$K$113,9,0)</f>
        <v>Zuid-Korea</v>
      </c>
      <c r="D28" s="4"/>
      <c r="E28" s="45" t="str">
        <f>VLOOKUP(D26,Matches!$B$4:$K$113,8,0)</f>
        <v>Canada</v>
      </c>
      <c r="F28" s="46" t="str">
        <f>VLOOKUP(D26,Matches!$B$4:$K$113,9,0)</f>
        <v>Qatar</v>
      </c>
      <c r="G28" s="4"/>
      <c r="H28" s="45" t="str">
        <f>VLOOKUP(G26,Matches!$B$4:$K$113,8,0)</f>
        <v>Brazilië</v>
      </c>
      <c r="I28" s="46" t="str">
        <f>VLOOKUP(G26,Matches!$B$4:$K$113,9,0)</f>
        <v>Haïti</v>
      </c>
      <c r="J28" s="4"/>
      <c r="K28" s="45" t="str">
        <f>VLOOKUP(J26,Matches!$B$4:$K$113,8,0)</f>
        <v>Turkije</v>
      </c>
      <c r="L28" s="46" t="str">
        <f>VLOOKUP(J26,Matches!$B$4:$K$113,9,0)</f>
        <v>Paraguay</v>
      </c>
      <c r="M28" s="4"/>
      <c r="N28" s="45" t="str">
        <f>VLOOKUP(M26,Matches!$B$4:$K$113,8,0)</f>
        <v>Ecuador</v>
      </c>
      <c r="O28" s="46" t="str">
        <f>VLOOKUP(M26,Matches!$B$4:$K$113,9,0)</f>
        <v>Curacao</v>
      </c>
      <c r="P28" s="4"/>
      <c r="Q28" s="45" t="str">
        <f>VLOOKUP(P26,Matches!$B$4:$K$113,8,0)</f>
        <v>Tunesië</v>
      </c>
      <c r="R28" s="46" t="str">
        <f>VLOOKUP(P26,Matches!$B$4:$K$113,9,0)</f>
        <v>Japan</v>
      </c>
      <c r="S28" s="4"/>
      <c r="T28" s="45" t="str">
        <f>VLOOKUP(S26,Matches!$B$4:$K$113,8,0)</f>
        <v>Nieuw-Zeeland</v>
      </c>
      <c r="U28" s="46" t="str">
        <f>VLOOKUP(S26,Matches!$B$4:$K$113,9,0)</f>
        <v>Egypte</v>
      </c>
      <c r="V28" s="4"/>
      <c r="W28" s="45" t="str">
        <f>VLOOKUP(V26,Matches!$B$4:$K$113,8,0)</f>
        <v>Uruguay</v>
      </c>
      <c r="X28" s="46" t="str">
        <f>VLOOKUP(V26,Matches!$B$4:$K$113,9,0)</f>
        <v>Kaapverdië</v>
      </c>
      <c r="Y28" s="4"/>
      <c r="Z28" s="45" t="str">
        <f>VLOOKUP(Y26,Matches!$B$4:$K$113,8,0)</f>
        <v>Noorwegen</v>
      </c>
      <c r="AA28" s="46" t="str">
        <f>VLOOKUP(Y26,Matches!$B$4:$K$113,9,0)</f>
        <v>Senegal</v>
      </c>
      <c r="AB28" s="4"/>
      <c r="AC28" s="45" t="str">
        <f>VLOOKUP(AB26,Matches!$B$4:$K$113,8,0)</f>
        <v>Jordanië</v>
      </c>
      <c r="AD28" s="46" t="str">
        <f>VLOOKUP(AB26,Matches!$B$4:$K$113,9,0)</f>
        <v>Algerije</v>
      </c>
      <c r="AE28" s="4"/>
      <c r="AF28" s="45" t="str">
        <f>VLOOKUP(AE26,Matches!$B$4:$K$113,8,0)</f>
        <v>Colombia</v>
      </c>
      <c r="AG28" s="46" t="str">
        <f>VLOOKUP(AE26,Matches!$B$4:$K$113,9,0)</f>
        <v>Congo</v>
      </c>
      <c r="AH28" s="4"/>
      <c r="AI28" s="45" t="str">
        <f>VLOOKUP(AH26,Matches!$B$4:$K$113,8,0)</f>
        <v>Panama</v>
      </c>
      <c r="AJ28" s="46" t="str">
        <f>VLOOKUP(AH26,Matches!$B$4:$K$113,9,0)</f>
        <v>Kroatië</v>
      </c>
      <c r="AK28" s="18"/>
      <c r="AL28" s="20"/>
      <c r="AM28" s="20"/>
      <c r="AN28" s="18"/>
      <c r="AO28" s="20"/>
      <c r="AP28" s="20"/>
      <c r="AQ28" s="18"/>
      <c r="AR28" s="20"/>
      <c r="AS28" s="20"/>
      <c r="AT28" s="18"/>
      <c r="AU28" s="20"/>
      <c r="AV28" s="20"/>
    </row>
    <row r="29" spans="1:48" ht="15.75" thickBot="1">
      <c r="A29" s="4"/>
      <c r="B29" s="1">
        <f>'NKC - WKpool 2026'!F5</f>
        <v>0</v>
      </c>
      <c r="C29" s="2">
        <f>'NKC - WKpool 2026'!H5</f>
        <v>0</v>
      </c>
      <c r="D29" s="4"/>
      <c r="E29" s="1">
        <f>'NKC - WKpool 2026'!F11</f>
        <v>0</v>
      </c>
      <c r="F29" s="2">
        <f>'NKC - WKpool 2026'!H11</f>
        <v>0</v>
      </c>
      <c r="G29" s="4"/>
      <c r="H29" s="1">
        <f>'NKC - WKpool 2026'!F17</f>
        <v>0</v>
      </c>
      <c r="I29" s="2">
        <f>'NKC - WKpool 2026'!H17</f>
        <v>0</v>
      </c>
      <c r="J29" s="4"/>
      <c r="K29" s="1">
        <f>'NKC - WKpool 2026'!F24</f>
        <v>0</v>
      </c>
      <c r="L29" s="2">
        <f>'NKC - WKpool 2026'!H24</f>
        <v>0</v>
      </c>
      <c r="M29" s="4"/>
      <c r="N29" s="1">
        <f>'NKC - WKpool 2026'!F30</f>
        <v>0</v>
      </c>
      <c r="O29" s="2">
        <f>'NKC - WKpool 2026'!H30</f>
        <v>0</v>
      </c>
      <c r="P29" s="4"/>
      <c r="Q29" s="1">
        <f>'NKC - WKpool 2026'!F36</f>
        <v>0</v>
      </c>
      <c r="R29" s="2">
        <f>'NKC - WKpool 2026'!H36</f>
        <v>0</v>
      </c>
      <c r="S29" s="4"/>
      <c r="T29" s="1">
        <f>'NKC - WKpool 2026'!F42</f>
        <v>0</v>
      </c>
      <c r="U29" s="2">
        <f>'NKC - WKpool 2026'!H42</f>
        <v>0</v>
      </c>
      <c r="V29" s="4"/>
      <c r="W29" s="1">
        <f>'NKC - WKpool 2026'!F48</f>
        <v>0</v>
      </c>
      <c r="X29" s="2">
        <f>'NKC - WKpool 2026'!H48</f>
        <v>0</v>
      </c>
      <c r="Y29" s="4"/>
      <c r="Z29" s="1">
        <f>'NKC - WKpool 2026'!F54</f>
        <v>0</v>
      </c>
      <c r="AA29" s="2">
        <f>'NKC - WKpool 2026'!H54</f>
        <v>0</v>
      </c>
      <c r="AB29" s="4"/>
      <c r="AC29" s="1">
        <f>'NKC - WKpool 2026'!F60</f>
        <v>0</v>
      </c>
      <c r="AD29" s="2">
        <f>'NKC - WKpool 2026'!H60</f>
        <v>0</v>
      </c>
      <c r="AE29" s="4"/>
      <c r="AF29" s="1">
        <f>'NKC - WKpool 2026'!F66</f>
        <v>0</v>
      </c>
      <c r="AG29" s="2">
        <f>'NKC - WKpool 2026'!H66</f>
        <v>0</v>
      </c>
      <c r="AH29" s="4"/>
      <c r="AI29" s="1">
        <f>'NKC - WKpool 2026'!F72</f>
        <v>0</v>
      </c>
      <c r="AJ29" s="2">
        <f>'NKC - WKpool 2026'!H72</f>
        <v>0</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307" t="str">
        <f>IF(ThirdPlaced!$I$33,"•","")</f>
        <v>•</v>
      </c>
      <c r="AM30" s="1307"/>
      <c r="AN30" s="18"/>
      <c r="AO30" s="23"/>
      <c r="AP30" s="23"/>
      <c r="AQ30" s="18"/>
      <c r="AR30" s="23"/>
      <c r="AS30" s="23"/>
      <c r="AT30" s="18"/>
      <c r="AU30" s="23"/>
      <c r="AV30" s="23"/>
    </row>
    <row r="31" spans="1:48">
      <c r="A31" s="90">
        <v>53</v>
      </c>
      <c r="B31" s="1274" t="str">
        <f>VLOOKUP(A31,Matches!$B$4:$K$113,7,0)</f>
        <v>Mexico City</v>
      </c>
      <c r="C31" s="1275"/>
      <c r="D31" s="90">
        <v>51</v>
      </c>
      <c r="E31" s="1274" t="str">
        <f>VLOOKUP(D31,Matches!$B$4:$K$113,7,0)</f>
        <v>Vancouver</v>
      </c>
      <c r="F31" s="1275"/>
      <c r="G31" s="90">
        <v>49</v>
      </c>
      <c r="H31" s="1274" t="str">
        <f>VLOOKUP(G31,Matches!$B$4:$K$113,7,0)</f>
        <v>Miami</v>
      </c>
      <c r="I31" s="1275"/>
      <c r="J31" s="90">
        <v>59</v>
      </c>
      <c r="K31" s="1274" t="str">
        <f>VLOOKUP(J31,Matches!$B$4:$K$113,7,0)</f>
        <v>Los Angeles</v>
      </c>
      <c r="L31" s="1275"/>
      <c r="M31" s="90">
        <v>55</v>
      </c>
      <c r="N31" s="1274" t="str">
        <f>VLOOKUP(M31,Matches!$B$4:$K$113,7,0)</f>
        <v>Philadelphia</v>
      </c>
      <c r="O31" s="1275"/>
      <c r="P31" s="90">
        <v>57</v>
      </c>
      <c r="Q31" s="1274" t="str">
        <f>VLOOKUP(P31,Matches!$B$4:$K$113,7,0)</f>
        <v>Dallas</v>
      </c>
      <c r="R31" s="1275"/>
      <c r="S31" s="90">
        <v>63</v>
      </c>
      <c r="T31" s="1274" t="str">
        <f>VLOOKUP(S31,Matches!$B$4:$K$113,7,0)</f>
        <v>Seattle</v>
      </c>
      <c r="U31" s="1275"/>
      <c r="V31" s="90">
        <v>65</v>
      </c>
      <c r="W31" s="1274" t="str">
        <f>VLOOKUP(V31,Matches!$B$4:$K$113,7,0)</f>
        <v>Houston</v>
      </c>
      <c r="X31" s="1275"/>
      <c r="Y31" s="90">
        <v>61</v>
      </c>
      <c r="Z31" s="1274" t="str">
        <f>VLOOKUP(Y31,Matches!$B$4:$K$113,7,0)</f>
        <v>Boston</v>
      </c>
      <c r="AA31" s="1275"/>
      <c r="AB31" s="90">
        <v>69</v>
      </c>
      <c r="AC31" s="1274" t="str">
        <f>VLOOKUP(AB31,Matches!$B$4:$K$113,7,0)</f>
        <v>Kansas City</v>
      </c>
      <c r="AD31" s="1275"/>
      <c r="AE31" s="90">
        <v>71</v>
      </c>
      <c r="AF31" s="1274" t="str">
        <f>VLOOKUP(AE31,Matches!$B$4:$K$113,7,0)</f>
        <v>Miami</v>
      </c>
      <c r="AG31" s="1275"/>
      <c r="AH31" s="90">
        <v>67</v>
      </c>
      <c r="AI31" s="1274" t="str">
        <f>VLOOKUP(AH31,Matches!$B$4:$K$113,7,0)</f>
        <v>New York/New Jersey</v>
      </c>
      <c r="AJ31" s="1275"/>
      <c r="AK31" s="426"/>
      <c r="AL31" s="1308" t="str">
        <f>Language!$E$180</f>
        <v>Derde van de groep</v>
      </c>
      <c r="AM31" s="1309"/>
      <c r="AN31" s="535" t="str">
        <f>Language!$E$181</f>
        <v>Grp</v>
      </c>
      <c r="AO31" s="431"/>
      <c r="AP31" s="431"/>
      <c r="AQ31" s="426"/>
      <c r="AR31" s="431"/>
      <c r="AS31" s="431"/>
      <c r="AT31" s="426"/>
      <c r="AU31" s="431"/>
      <c r="AV31" s="431"/>
    </row>
    <row r="32" spans="1:48">
      <c r="A32" s="4"/>
      <c r="B32" s="1265">
        <f>VLOOKUP(A31,Matches!$B$4:$K$113,5,0)</f>
        <v>46198.125</v>
      </c>
      <c r="C32" s="1266"/>
      <c r="D32" s="4"/>
      <c r="E32" s="1265">
        <f>VLOOKUP(D31,Matches!$B$4:$K$113,5,0)</f>
        <v>46197.875</v>
      </c>
      <c r="F32" s="1266"/>
      <c r="G32" s="4"/>
      <c r="H32" s="1265">
        <f>VLOOKUP(G31,Matches!$B$4:$K$113,5,0)</f>
        <v>46198</v>
      </c>
      <c r="I32" s="1266"/>
      <c r="J32" s="4"/>
      <c r="K32" s="1265">
        <f>VLOOKUP(J31,Matches!$B$4:$K$113,5,0)</f>
        <v>46199.166666666664</v>
      </c>
      <c r="L32" s="1266"/>
      <c r="M32" s="4"/>
      <c r="N32" s="1265">
        <f>VLOOKUP(M31,Matches!$B$4:$K$113,5,0)</f>
        <v>46198.916666666664</v>
      </c>
      <c r="O32" s="1266"/>
      <c r="P32" s="4"/>
      <c r="Q32" s="1265">
        <f>VLOOKUP(P31,Matches!$B$4:$K$113,5,0)</f>
        <v>46199.041666666664</v>
      </c>
      <c r="R32" s="1266"/>
      <c r="S32" s="4"/>
      <c r="T32" s="1265">
        <f>VLOOKUP(S31,Matches!$B$4:$K$113,5,0)</f>
        <v>46200.208333333336</v>
      </c>
      <c r="U32" s="1266"/>
      <c r="V32" s="4"/>
      <c r="W32" s="1265">
        <f>VLOOKUP(V31,Matches!$B$4:$K$113,5,0)</f>
        <v>46200.083333333336</v>
      </c>
      <c r="X32" s="1266"/>
      <c r="Y32" s="4"/>
      <c r="Z32" s="1265">
        <f>VLOOKUP(Y31,Matches!$B$4:$K$113,5,0)</f>
        <v>46199.875</v>
      </c>
      <c r="AA32" s="1266"/>
      <c r="AB32" s="4"/>
      <c r="AC32" s="1265">
        <f>VLOOKUP(AB31,Matches!$B$4:$K$113,5,0)</f>
        <v>46201.166666666664</v>
      </c>
      <c r="AD32" s="1266"/>
      <c r="AE32" s="4"/>
      <c r="AF32" s="1265">
        <f>VLOOKUP(AE31,Matches!$B$4:$K$113,5,0)</f>
        <v>46201.0625</v>
      </c>
      <c r="AG32" s="1266"/>
      <c r="AH32" s="4"/>
      <c r="AI32" s="1265">
        <f>VLOOKUP(AH31,Matches!$B$4:$K$113,5,0)</f>
        <v>46200.958333333336</v>
      </c>
      <c r="AJ32" s="1266"/>
      <c r="AK32" s="18"/>
      <c r="AL32" s="534" t="str">
        <f>IF(OR(ThirdPlaced!$D17&gt;0,ThirdPlaced!$G17&gt;0),ThirdPlaced!$C17,"")</f>
        <v>Australië</v>
      </c>
      <c r="AM32" s="527" t="str">
        <f>IF(AL32&lt;&gt;"","   "&amp;ThirdPlaced!$D17&amp;"        "&amp;ThirdPlaced!$F17&amp;Language!$E$197&amp;ThirdPlaced!$G17,"")</f>
        <v xml:space="preserve">   3        0 : 0</v>
      </c>
      <c r="AN32" s="533" t="str">
        <f>IF(AL32&lt;&gt;"",ThirdPlaced!$I17,"")</f>
        <v>D</v>
      </c>
      <c r="AO32" s="432"/>
      <c r="AP32" s="432"/>
      <c r="AQ32" s="18"/>
      <c r="AR32" s="432"/>
      <c r="AS32" s="432"/>
      <c r="AT32" s="18"/>
      <c r="AU32" s="432"/>
      <c r="AV32" s="432"/>
    </row>
    <row r="33" spans="1:49">
      <c r="A33" s="4"/>
      <c r="B33" s="45" t="str">
        <f>VLOOKUP(A31,Matches!$B$4:$K$113,8,0)</f>
        <v>Tsjechië</v>
      </c>
      <c r="C33" s="46" t="str">
        <f>VLOOKUP(A31,Matches!$B$4:$K$113,9,0)</f>
        <v>Mexico</v>
      </c>
      <c r="D33" s="4"/>
      <c r="E33" s="45" t="str">
        <f>VLOOKUP(D31,Matches!$B$4:$K$113,8,0)</f>
        <v>Zwitserland</v>
      </c>
      <c r="F33" s="46" t="str">
        <f>VLOOKUP(D31,Matches!$B$4:$K$113,9,0)</f>
        <v>Canada</v>
      </c>
      <c r="G33" s="4"/>
      <c r="H33" s="45" t="str">
        <f>VLOOKUP(G31,Matches!$B$4:$K$113,8,0)</f>
        <v>Schotland</v>
      </c>
      <c r="I33" s="46" t="str">
        <f>VLOOKUP(G31,Matches!$B$4:$K$113,9,0)</f>
        <v>Brazilië</v>
      </c>
      <c r="J33" s="4"/>
      <c r="K33" s="45" t="str">
        <f>VLOOKUP(J31,Matches!$B$4:$K$113,8,0)</f>
        <v>Turkije</v>
      </c>
      <c r="L33" s="46" t="str">
        <f>VLOOKUP(J31,Matches!$B$4:$K$113,9,0)</f>
        <v>USA</v>
      </c>
      <c r="M33" s="4"/>
      <c r="N33" s="45" t="str">
        <f>VLOOKUP(M31,Matches!$B$4:$K$113,8,0)</f>
        <v>Curacao</v>
      </c>
      <c r="O33" s="46" t="str">
        <f>VLOOKUP(M31,Matches!$B$4:$K$113,9,0)</f>
        <v>Ivoorkust</v>
      </c>
      <c r="P33" s="4"/>
      <c r="Q33" s="45" t="str">
        <f>VLOOKUP(P31,Matches!$B$4:$K$113,8,0)</f>
        <v>Japan</v>
      </c>
      <c r="R33" s="46" t="str">
        <f>VLOOKUP(P31,Matches!$B$4:$K$113,9,0)</f>
        <v>Zweden</v>
      </c>
      <c r="S33" s="4"/>
      <c r="T33" s="45" t="str">
        <f>VLOOKUP(S31,Matches!$B$4:$K$113,8,0)</f>
        <v>Egypte</v>
      </c>
      <c r="U33" s="46" t="str">
        <f>VLOOKUP(S31,Matches!$B$4:$K$113,9,0)</f>
        <v>Iran</v>
      </c>
      <c r="V33" s="4"/>
      <c r="W33" s="45" t="str">
        <f>VLOOKUP(V31,Matches!$B$4:$K$113,8,0)</f>
        <v>Kaapverdië</v>
      </c>
      <c r="X33" s="46" t="str">
        <f>VLOOKUP(V31,Matches!$B$4:$K$113,9,0)</f>
        <v>Saoedi-Arabië</v>
      </c>
      <c r="Y33" s="4"/>
      <c r="Z33" s="45" t="str">
        <f>VLOOKUP(Y31,Matches!$B$4:$K$113,8,0)</f>
        <v>Noorwegen</v>
      </c>
      <c r="AA33" s="46" t="str">
        <f>VLOOKUP(Y31,Matches!$B$4:$K$113,9,0)</f>
        <v>Frankrijk</v>
      </c>
      <c r="AB33" s="4"/>
      <c r="AC33" s="45" t="str">
        <f>VLOOKUP(AB31,Matches!$B$4:$K$113,8,0)</f>
        <v>Algerije</v>
      </c>
      <c r="AD33" s="46" t="str">
        <f>VLOOKUP(AB31,Matches!$B$4:$K$113,9,0)</f>
        <v>Oostenrijk</v>
      </c>
      <c r="AE33" s="4"/>
      <c r="AF33" s="45" t="str">
        <f>VLOOKUP(AE31,Matches!$B$4:$K$113,8,0)</f>
        <v>Colombia</v>
      </c>
      <c r="AG33" s="46" t="str">
        <f>VLOOKUP(AE31,Matches!$B$4:$K$113,9,0)</f>
        <v>Portugal</v>
      </c>
      <c r="AH33" s="4"/>
      <c r="AI33" s="45" t="str">
        <f>VLOOKUP(AH31,Matches!$B$4:$K$113,8,0)</f>
        <v>Panama</v>
      </c>
      <c r="AJ33" s="46" t="str">
        <f>VLOOKUP(AH31,Matches!$B$4:$K$113,9,0)</f>
        <v>Engeland</v>
      </c>
      <c r="AK33" s="18"/>
      <c r="AL33" s="534" t="str">
        <f>IF(OR(ThirdPlaced!$D18&gt;0,ThirdPlaced!$G18&gt;0),ThirdPlaced!$C18,"")</f>
        <v>Algerije</v>
      </c>
      <c r="AM33" s="527" t="str">
        <f>IF(AL33&lt;&gt;"","   "&amp;ThirdPlaced!$D18&amp;"        "&amp;ThirdPlaced!$F18&amp;Language!$E$197&amp;ThirdPlaced!$G18,"")</f>
        <v xml:space="preserve">   3        0 : 0</v>
      </c>
      <c r="AN33" s="533" t="str">
        <f>IF(AL33&lt;&gt;"",ThirdPlaced!$I18,"")</f>
        <v>J</v>
      </c>
      <c r="AO33" s="20"/>
      <c r="AP33" s="20"/>
      <c r="AQ33" s="18"/>
      <c r="AR33" s="20"/>
      <c r="AS33" s="20"/>
      <c r="AT33" s="18"/>
      <c r="AU33" s="20"/>
      <c r="AV33" s="20"/>
    </row>
    <row r="34" spans="1:49" ht="15.75" thickBot="1">
      <c r="A34" s="4"/>
      <c r="B34" s="1">
        <f>'NKC - WKpool 2026'!F7</f>
        <v>0</v>
      </c>
      <c r="C34" s="2">
        <f>'NKC - WKpool 2026'!H7</f>
        <v>0</v>
      </c>
      <c r="D34" s="4"/>
      <c r="E34" s="1">
        <f>'NKC - WKpool 2026'!F13</f>
        <v>0</v>
      </c>
      <c r="F34" s="2">
        <f>'NKC - WKpool 2026'!H13</f>
        <v>0</v>
      </c>
      <c r="G34" s="4"/>
      <c r="H34" s="1">
        <f>'NKC - WKpool 2026'!F19</f>
        <v>0</v>
      </c>
      <c r="I34" s="2">
        <f>'NKC - WKpool 2026'!H19</f>
        <v>0</v>
      </c>
      <c r="J34" s="4"/>
      <c r="K34" s="1">
        <f>'NKC - WKpool 2026'!F25</f>
        <v>0</v>
      </c>
      <c r="L34" s="2">
        <f>'NKC - WKpool 2026'!H25</f>
        <v>0</v>
      </c>
      <c r="M34" s="4"/>
      <c r="N34" s="1">
        <f>'NKC - WKpool 2026'!F32</f>
        <v>0</v>
      </c>
      <c r="O34" s="2">
        <f>'NKC - WKpool 2026'!H32</f>
        <v>0</v>
      </c>
      <c r="P34" s="4"/>
      <c r="Q34" s="1">
        <f>'NKC - WKpool 2026'!F38</f>
        <v>0</v>
      </c>
      <c r="R34" s="2">
        <f>'NKC - WKpool 2026'!H38</f>
        <v>0</v>
      </c>
      <c r="S34" s="4"/>
      <c r="T34" s="1">
        <f>'NKC - WKpool 2026'!F44</f>
        <v>0</v>
      </c>
      <c r="U34" s="2"/>
      <c r="V34" s="4"/>
      <c r="W34" s="1">
        <f>'NKC - WKpool 2026'!F50</f>
        <v>0</v>
      </c>
      <c r="X34" s="2">
        <f>'NKC - WKpool 2026'!H50</f>
        <v>0</v>
      </c>
      <c r="Y34" s="4"/>
      <c r="Z34" s="1">
        <f>'NKC - WKpool 2026'!F55</f>
        <v>0</v>
      </c>
      <c r="AA34" s="2">
        <f>'NKC - WKpool 2026'!H55</f>
        <v>0</v>
      </c>
      <c r="AB34" s="4"/>
      <c r="AC34" s="1">
        <f>'NKC - WKpool 2026'!F62</f>
        <v>0</v>
      </c>
      <c r="AD34" s="2">
        <f>'NKC - WKpool 2026'!H62</f>
        <v>0</v>
      </c>
      <c r="AE34" s="4"/>
      <c r="AF34" s="1">
        <f>'NKC - WKpool 2026'!F67</f>
        <v>0</v>
      </c>
      <c r="AG34" s="2">
        <f>'NKC - WKpool 2026'!H67</f>
        <v>0</v>
      </c>
      <c r="AH34" s="4"/>
      <c r="AI34" s="1">
        <f>'NKC - WKpool 2026'!F73</f>
        <v>0</v>
      </c>
      <c r="AJ34" s="2">
        <f>'NKC - WKpool 2026'!H73</f>
        <v>0</v>
      </c>
      <c r="AK34" s="18"/>
      <c r="AL34" s="534" t="str">
        <f>IF(OR(ThirdPlaced!$D19&gt;0,ThirdPlaced!$G19&gt;0),ThirdPlaced!$C19,"")</f>
        <v>Noorwegen</v>
      </c>
      <c r="AM34" s="527" t="str">
        <f>IF(AL34&lt;&gt;"","   "&amp;ThirdPlaced!$D19&amp;"        "&amp;ThirdPlaced!$F19&amp;Language!$E$197&amp;ThirdPlaced!$G19,"")</f>
        <v xml:space="preserve">   3        0 : 0</v>
      </c>
      <c r="AN34" s="533" t="str">
        <f>IF(AL34&lt;&gt;"",ThirdPlaced!$I19,"")</f>
        <v>I</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Panama</v>
      </c>
      <c r="AM35" s="527" t="str">
        <f>IF(AL35&lt;&gt;"","   "&amp;ThirdPlaced!$D20&amp;"        "&amp;ThirdPlaced!$F20&amp;Language!$E$197&amp;ThirdPlaced!$G20,"")</f>
        <v xml:space="preserve">   3        0 : 0</v>
      </c>
      <c r="AN35" s="533" t="str">
        <f>IF(AL35&lt;&gt;"",ThirdPlaced!$I20,"")</f>
        <v>L</v>
      </c>
      <c r="AO35" s="23"/>
      <c r="AP35" s="23"/>
      <c r="AQ35" s="18"/>
      <c r="AR35" s="23"/>
      <c r="AS35" s="23"/>
      <c r="AT35" s="18"/>
      <c r="AU35" s="23"/>
      <c r="AV35" s="23"/>
      <c r="AW35" s="4"/>
    </row>
    <row r="36" spans="1:49">
      <c r="A36" s="90">
        <v>54</v>
      </c>
      <c r="B36" s="1274" t="str">
        <f>VLOOKUP(A36,Matches!$B$4:$K$113,7,0)</f>
        <v>Monterrey</v>
      </c>
      <c r="C36" s="1275"/>
      <c r="D36" s="90">
        <v>52</v>
      </c>
      <c r="E36" s="1274" t="str">
        <f>VLOOKUP(D36,Matches!$B$4:$K$113,7,0)</f>
        <v>Seattle</v>
      </c>
      <c r="F36" s="1275"/>
      <c r="G36" s="90">
        <v>50</v>
      </c>
      <c r="H36" s="1274" t="str">
        <f>VLOOKUP(G36,Matches!$B$4:$K$113,7,0)</f>
        <v>Atlanta</v>
      </c>
      <c r="I36" s="1275"/>
      <c r="J36" s="90">
        <v>60</v>
      </c>
      <c r="K36" s="1274" t="str">
        <f>VLOOKUP(J36,Matches!$B$4:$K$113,7,0)</f>
        <v>San Francisco Bay Area</v>
      </c>
      <c r="L36" s="1275"/>
      <c r="M36" s="90">
        <v>56</v>
      </c>
      <c r="N36" s="1274" t="str">
        <f>VLOOKUP(M36,Matches!$B$4:$K$113,7,0)</f>
        <v>New York/New Jersey</v>
      </c>
      <c r="O36" s="1275"/>
      <c r="P36" s="90">
        <v>58</v>
      </c>
      <c r="Q36" s="1274" t="str">
        <f>VLOOKUP(P36,Matches!$B$4:$K$113,7,0)</f>
        <v>Kansas City</v>
      </c>
      <c r="R36" s="1275"/>
      <c r="S36" s="90">
        <v>64</v>
      </c>
      <c r="T36" s="1274" t="str">
        <f>VLOOKUP(S36,Matches!$B$4:$K$113,7,0)</f>
        <v>Vancouver</v>
      </c>
      <c r="U36" s="1275"/>
      <c r="V36" s="90">
        <v>66</v>
      </c>
      <c r="W36" s="1274" t="str">
        <f>VLOOKUP(V36,Matches!$B$4:$K$113,7,0)</f>
        <v>Guadalajara</v>
      </c>
      <c r="X36" s="1275"/>
      <c r="Y36" s="90">
        <v>62</v>
      </c>
      <c r="Z36" s="1274" t="str">
        <f>VLOOKUP(Y36,Matches!$B$4:$K$113,7,0)</f>
        <v>Toronto</v>
      </c>
      <c r="AA36" s="1275"/>
      <c r="AB36" s="90">
        <v>70</v>
      </c>
      <c r="AC36" s="1274" t="str">
        <f>VLOOKUP(AB36,Matches!$B$4:$K$113,7,0)</f>
        <v>Dallas</v>
      </c>
      <c r="AD36" s="1275"/>
      <c r="AE36" s="90">
        <v>72</v>
      </c>
      <c r="AF36" s="1274" t="str">
        <f>VLOOKUP(AE36,Matches!$B$4:$K$113,7,0)</f>
        <v>Atlanta</v>
      </c>
      <c r="AG36" s="1275"/>
      <c r="AH36" s="90">
        <v>68</v>
      </c>
      <c r="AI36" s="1274" t="str">
        <f>VLOOKUP(AH36,Matches!$B$4:$K$113,7,0)</f>
        <v>Philadelphia</v>
      </c>
      <c r="AJ36" s="1275"/>
      <c r="AK36" s="426"/>
      <c r="AL36" s="534" t="str">
        <f>IF(OR(ThirdPlaced!$D21&gt;0,ThirdPlaced!$G21&gt;0),ThirdPlaced!$C21,"")</f>
        <v>Ivoorkust</v>
      </c>
      <c r="AM36" s="527" t="str">
        <f>IF(AL36&lt;&gt;"","   "&amp;ThirdPlaced!$D21&amp;"        "&amp;ThirdPlaced!$F21&amp;Language!$E$197&amp;ThirdPlaced!$G21,"")</f>
        <v xml:space="preserve">   3        0 : 0</v>
      </c>
      <c r="AN36" s="533" t="str">
        <f>IF(AL36&lt;&gt;"",ThirdPlaced!$I21,"")</f>
        <v>E</v>
      </c>
      <c r="AO36" s="18"/>
      <c r="AP36" s="18"/>
      <c r="AQ36" s="18"/>
      <c r="AR36" s="431"/>
      <c r="AS36" s="431"/>
      <c r="AT36" s="426"/>
      <c r="AU36" s="431"/>
      <c r="AV36" s="431"/>
      <c r="AW36" s="4"/>
    </row>
    <row r="37" spans="1:49">
      <c r="A37" s="4"/>
      <c r="B37" s="1265">
        <f>VLOOKUP(A36,Matches!$B$4:$K$113,5,0)</f>
        <v>46198.125</v>
      </c>
      <c r="C37" s="1266"/>
      <c r="D37" s="4"/>
      <c r="E37" s="1265">
        <f>VLOOKUP(D36,Matches!$B$4:$K$113,5,0)</f>
        <v>46197.875</v>
      </c>
      <c r="F37" s="1266"/>
      <c r="G37" s="4"/>
      <c r="H37" s="1265">
        <f>VLOOKUP(G36,Matches!$B$4:$K$113,5,0)</f>
        <v>46198</v>
      </c>
      <c r="I37" s="1266"/>
      <c r="J37" s="4"/>
      <c r="K37" s="1265">
        <f>VLOOKUP(J36,Matches!$B$4:$K$113,5,0)</f>
        <v>46199.166666666664</v>
      </c>
      <c r="L37" s="1266"/>
      <c r="M37" s="4"/>
      <c r="N37" s="1265">
        <f>VLOOKUP(M36,Matches!$B$4:$K$113,5,0)</f>
        <v>46198.916666666664</v>
      </c>
      <c r="O37" s="1266"/>
      <c r="P37" s="4"/>
      <c r="Q37" s="1265">
        <f>VLOOKUP(P36,Matches!$B$4:$K$113,5,0)</f>
        <v>46199.041666666664</v>
      </c>
      <c r="R37" s="1266"/>
      <c r="S37" s="4"/>
      <c r="T37" s="1265">
        <f>VLOOKUP(S36,Matches!$B$4:$K$113,5,0)</f>
        <v>46200.208333333336</v>
      </c>
      <c r="U37" s="1266"/>
      <c r="V37" s="4"/>
      <c r="W37" s="1265">
        <f>VLOOKUP(V36,Matches!$B$4:$K$113,5,0)</f>
        <v>46200.083333333336</v>
      </c>
      <c r="X37" s="1266"/>
      <c r="Y37" s="4"/>
      <c r="Z37" s="1265">
        <f>VLOOKUP(Y36,Matches!$B$4:$K$113,5,0)</f>
        <v>46199.875</v>
      </c>
      <c r="AA37" s="1266"/>
      <c r="AB37" s="4"/>
      <c r="AC37" s="1265">
        <f>VLOOKUP(AB36,Matches!$B$4:$K$113,5,0)</f>
        <v>46201.166666666664</v>
      </c>
      <c r="AD37" s="1266"/>
      <c r="AE37" s="4"/>
      <c r="AF37" s="1265">
        <f>VLOOKUP(AE36,Matches!$B$4:$K$113,5,0)</f>
        <v>46201.0625</v>
      </c>
      <c r="AG37" s="1266"/>
      <c r="AH37" s="4"/>
      <c r="AI37" s="1265">
        <f>VLOOKUP(AH36,Matches!$B$4:$K$113,5,0)</f>
        <v>46200.958333333336</v>
      </c>
      <c r="AJ37" s="1266"/>
      <c r="AK37" s="18"/>
      <c r="AL37" s="534" t="str">
        <f>IF(OR(ThirdPlaced!$D22&gt;0,ThirdPlaced!$G22&gt;0),ThirdPlaced!$C22,"")</f>
        <v>Zweden</v>
      </c>
      <c r="AM37" s="527" t="str">
        <f>IF(AL37&lt;&gt;"","   "&amp;ThirdPlaced!$D22&amp;"        "&amp;ThirdPlaced!$F22&amp;Language!$E$197&amp;ThirdPlaced!$G22,"")</f>
        <v xml:space="preserve">   3        0 : 0</v>
      </c>
      <c r="AN37" s="533" t="str">
        <f>IF(AL37&lt;&gt;"",ThirdPlaced!$I22,"")</f>
        <v>F</v>
      </c>
      <c r="AO37" s="18"/>
      <c r="AP37" s="18"/>
      <c r="AQ37" s="49"/>
      <c r="AR37" s="432"/>
      <c r="AS37" s="432"/>
      <c r="AT37" s="18"/>
      <c r="AU37" s="432"/>
      <c r="AV37" s="432"/>
      <c r="AW37" s="4"/>
    </row>
    <row r="38" spans="1:49">
      <c r="A38" s="4"/>
      <c r="B38" s="45" t="str">
        <f>VLOOKUP(A36,Matches!$B$4:$K$113,8,0)</f>
        <v>Zuid-Afrika</v>
      </c>
      <c r="C38" s="46" t="str">
        <f>VLOOKUP(A36,Matches!$B$4:$K$113,9,0)</f>
        <v>Zuid-Korea</v>
      </c>
      <c r="D38" s="4"/>
      <c r="E38" s="45" t="str">
        <f>VLOOKUP(D36,Matches!$B$4:$K$113,8,0)</f>
        <v>Bosnië/Herz.</v>
      </c>
      <c r="F38" s="46" t="str">
        <f>VLOOKUP(D36,Matches!$B$4:$K$113,9,0)</f>
        <v>Qatar</v>
      </c>
      <c r="G38" s="4"/>
      <c r="H38" s="45" t="str">
        <f>VLOOKUP(G36,Matches!$B$4:$K$113,8,0)</f>
        <v>Marokko</v>
      </c>
      <c r="I38" s="46" t="str">
        <f>VLOOKUP(G36,Matches!$B$4:$K$113,9,0)</f>
        <v>Haïti</v>
      </c>
      <c r="J38" s="4"/>
      <c r="K38" s="45" t="str">
        <f>VLOOKUP(J36,Matches!$B$4:$K$113,8,0)</f>
        <v>Paraguay</v>
      </c>
      <c r="L38" s="46" t="str">
        <f>VLOOKUP(J36,Matches!$B$4:$K$113,9,0)</f>
        <v>Australië</v>
      </c>
      <c r="M38" s="4"/>
      <c r="N38" s="45" t="str">
        <f>VLOOKUP(M36,Matches!$B$4:$K$113,8,0)</f>
        <v>Ecuador</v>
      </c>
      <c r="O38" s="46" t="str">
        <f>VLOOKUP(M36,Matches!$B$4:$K$113,9,0)</f>
        <v>Duitsland</v>
      </c>
      <c r="P38" s="4"/>
      <c r="Q38" s="45" t="str">
        <f>VLOOKUP(P36,Matches!$B$4:$K$113,8,0)</f>
        <v>Tunesië</v>
      </c>
      <c r="R38" s="46" t="str">
        <f>VLOOKUP(P36,Matches!$B$4:$K$113,9,0)</f>
        <v>Nederland</v>
      </c>
      <c r="S38" s="4"/>
      <c r="T38" s="45" t="str">
        <f>VLOOKUP(S36,Matches!$B$4:$K$113,8,0)</f>
        <v>Nieuw-Zeeland</v>
      </c>
      <c r="U38" s="46" t="str">
        <f>VLOOKUP(S36,Matches!$B$4:$K$113,9,0)</f>
        <v>België</v>
      </c>
      <c r="V38" s="4"/>
      <c r="W38" s="45" t="str">
        <f>VLOOKUP(V36,Matches!$B$4:$K$113,8,0)</f>
        <v>Uruguay</v>
      </c>
      <c r="X38" s="46" t="str">
        <f>VLOOKUP(V36,Matches!$B$4:$K$113,9,0)</f>
        <v>Spanje</v>
      </c>
      <c r="Y38" s="4"/>
      <c r="Z38" s="45" t="str">
        <f>VLOOKUP(Y36,Matches!$B$4:$K$113,8,0)</f>
        <v>Senegal</v>
      </c>
      <c r="AA38" s="46" t="str">
        <f>VLOOKUP(Y36,Matches!$B$4:$K$113,9,0)</f>
        <v>Irak</v>
      </c>
      <c r="AB38" s="4"/>
      <c r="AC38" s="45" t="str">
        <f>VLOOKUP(AB36,Matches!$B$4:$K$113,8,0)</f>
        <v>Jordanië</v>
      </c>
      <c r="AD38" s="46" t="str">
        <f>VLOOKUP(AB36,Matches!$B$4:$K$113,9,0)</f>
        <v>Argentinië</v>
      </c>
      <c r="AE38" s="4"/>
      <c r="AF38" s="45" t="str">
        <f>VLOOKUP(AE36,Matches!$B$4:$K$113,8,0)</f>
        <v>Congo</v>
      </c>
      <c r="AG38" s="46" t="str">
        <f>VLOOKUP(AE36,Matches!$B$4:$K$113,9,0)</f>
        <v>Oezbekistan</v>
      </c>
      <c r="AH38" s="4"/>
      <c r="AI38" s="45" t="str">
        <f>VLOOKUP(AH36,Matches!$B$4:$K$113,8,0)</f>
        <v>Kroatië</v>
      </c>
      <c r="AJ38" s="46" t="str">
        <f>VLOOKUP(AH36,Matches!$B$4:$K$113,9,0)</f>
        <v>Ghana</v>
      </c>
      <c r="AK38" s="18"/>
      <c r="AL38" s="534" t="str">
        <f>IF(OR(ThirdPlaced!$D23&gt;0,ThirdPlaced!$G23&gt;0),ThirdPlaced!$C23,"")</f>
        <v>Tsjechië</v>
      </c>
      <c r="AM38" s="527" t="str">
        <f>IF(AL38&lt;&gt;"","   "&amp;ThirdPlaced!$D23&amp;"        "&amp;ThirdPlaced!$F23&amp;Language!$E$197&amp;ThirdPlaced!$G23,"")</f>
        <v xml:space="preserve">   3        0 : 0</v>
      </c>
      <c r="AN38" s="533" t="str">
        <f>IF(AL38&lt;&gt;"",ThirdPlaced!$I23,"")</f>
        <v>A</v>
      </c>
      <c r="AO38" s="18"/>
      <c r="AP38" s="18"/>
      <c r="AQ38" s="18"/>
      <c r="AR38" s="20"/>
      <c r="AS38" s="20"/>
      <c r="AT38" s="18"/>
      <c r="AU38" s="20"/>
      <c r="AV38" s="20"/>
      <c r="AW38" s="4"/>
    </row>
    <row r="39" spans="1:49" ht="15.75" thickBot="1">
      <c r="A39" s="4"/>
      <c r="B39" s="1">
        <f>'NKC - WKpool 2026'!F8</f>
        <v>0</v>
      </c>
      <c r="C39" s="2">
        <f>'NKC - WKpool 2026'!H8</f>
        <v>0</v>
      </c>
      <c r="D39" s="4"/>
      <c r="E39" s="1">
        <f>'NKC - WKpool 2026'!F14</f>
        <v>0</v>
      </c>
      <c r="F39" s="2">
        <f>'NKC - WKpool 2026'!H14</f>
        <v>0</v>
      </c>
      <c r="G39" s="4"/>
      <c r="H39" s="1">
        <f>'NKC - WKpool 2026'!F20</f>
        <v>0</v>
      </c>
      <c r="I39" s="2">
        <f>'NKC - WKpool 2026'!H20</f>
        <v>0</v>
      </c>
      <c r="J39" s="4"/>
      <c r="K39" s="1">
        <f>'NKC - WKpool 2026'!F26</f>
        <v>0</v>
      </c>
      <c r="L39" s="2">
        <f>'NKC - WKpool 2026'!H26</f>
        <v>0</v>
      </c>
      <c r="M39" s="4"/>
      <c r="N39" s="1">
        <f>'NKC - WKpool 2026'!F31</f>
        <v>0</v>
      </c>
      <c r="O39" s="2">
        <f>'NKC - WKpool 2026'!H31</f>
        <v>0</v>
      </c>
      <c r="P39" s="4"/>
      <c r="Q39" s="1">
        <f>'NKC - WKpool 2026'!F37</f>
        <v>0</v>
      </c>
      <c r="R39" s="2">
        <f>'NKC - WKpool 2026'!H37</f>
        <v>0</v>
      </c>
      <c r="S39" s="4"/>
      <c r="T39" s="1">
        <f>'NKC - WKpool 2026'!F43</f>
        <v>0</v>
      </c>
      <c r="U39" s="2">
        <f>'NKC - WKpool 2026'!H43</f>
        <v>0</v>
      </c>
      <c r="V39" s="4"/>
      <c r="W39" s="1">
        <f>'NKC - WKpool 2026'!F49</f>
        <v>0</v>
      </c>
      <c r="X39" s="2">
        <f>'NKC - WKpool 2026'!H49</f>
        <v>0</v>
      </c>
      <c r="Y39" s="4"/>
      <c r="Z39" s="1">
        <f>'NKC - WKpool 2026'!F56</f>
        <v>0</v>
      </c>
      <c r="AA39" s="2">
        <f>'NKC - WKpool 2026'!H56</f>
        <v>0</v>
      </c>
      <c r="AB39" s="4"/>
      <c r="AC39" s="1">
        <f>'NKC - WKpool 2026'!F61</f>
        <v>0</v>
      </c>
      <c r="AD39" s="2">
        <f>'NKC - WKpool 2026'!H61</f>
        <v>0</v>
      </c>
      <c r="AE39" s="4"/>
      <c r="AF39" s="1">
        <f>'NKC - WKpool 2026'!F68</f>
        <v>0</v>
      </c>
      <c r="AG39" s="2">
        <f>'NKC - WKpool 2026'!H68</f>
        <v>0</v>
      </c>
      <c r="AH39" s="4"/>
      <c r="AI39" s="1">
        <f>'NKC - WKpool 2026'!F74</f>
        <v>0</v>
      </c>
      <c r="AJ39" s="2">
        <f>'NKC - WKpool 2026'!H74</f>
        <v>0</v>
      </c>
      <c r="AK39" s="18"/>
      <c r="AL39" s="539" t="str">
        <f>IF(OR(ThirdPlaced!$D24&gt;0,ThirdPlaced!$G24&gt;0),ThirdPlaced!$C24,"")</f>
        <v>Schotland</v>
      </c>
      <c r="AM39" s="540" t="str">
        <f>IF(AL39&lt;&gt;"","   "&amp;ThirdPlaced!$D24&amp;"        "&amp;ThirdPlaced!$F24&amp;Language!$E$197&amp;ThirdPlaced!$G24,"")</f>
        <v xml:space="preserve">   3        0 : 0</v>
      </c>
      <c r="AN39" s="541" t="str">
        <f>IF(AL39&lt;&gt;"",ThirdPlaced!$I24,"")</f>
        <v>C</v>
      </c>
      <c r="AO39" s="1306"/>
      <c r="AP39" s="1306"/>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Congo</v>
      </c>
      <c r="AM40" s="537" t="str">
        <f>IF(AL40&lt;&gt;"","   "&amp;ThirdPlaced!$D25&amp;"        "&amp;ThirdPlaced!$F25&amp;Language!$E$197&amp;ThirdPlaced!$G25,"")</f>
        <v xml:space="preserve">   3        0 : 0</v>
      </c>
      <c r="AN40" s="538" t="str">
        <f>IF(AL40&lt;&gt;"",ThirdPlaced!$I25,"")</f>
        <v>K</v>
      </c>
      <c r="AO40" s="4"/>
      <c r="AP40" s="4"/>
      <c r="AQ40" s="4"/>
      <c r="AR40" s="422"/>
      <c r="AS40" s="422"/>
      <c r="AT40" s="18"/>
      <c r="AU40" s="18"/>
      <c r="AV40" s="18"/>
      <c r="AW40" s="4"/>
    </row>
    <row r="41" spans="1:49">
      <c r="A41" s="4"/>
      <c r="B41" s="1278" t="str">
        <f>B9</f>
        <v>Groep A</v>
      </c>
      <c r="C41" s="1279"/>
      <c r="D41" s="4"/>
      <c r="E41" s="1278" t="str">
        <f>E9</f>
        <v>Groep B</v>
      </c>
      <c r="F41" s="1279"/>
      <c r="G41" s="4"/>
      <c r="H41" s="1278" t="str">
        <f>H9</f>
        <v>Groep C</v>
      </c>
      <c r="I41" s="1279"/>
      <c r="J41" s="4"/>
      <c r="K41" s="1278" t="str">
        <f>K9</f>
        <v>Groep D</v>
      </c>
      <c r="L41" s="1279"/>
      <c r="M41" s="4"/>
      <c r="N41" s="1278" t="str">
        <f>N9</f>
        <v>Groep E</v>
      </c>
      <c r="O41" s="1279"/>
      <c r="P41" s="4"/>
      <c r="Q41" s="1278" t="str">
        <f>Q9</f>
        <v>Groep F</v>
      </c>
      <c r="R41" s="1279"/>
      <c r="S41" s="4"/>
      <c r="T41" s="1278" t="str">
        <f>T9</f>
        <v>Groep G</v>
      </c>
      <c r="U41" s="1279"/>
      <c r="V41" s="49"/>
      <c r="W41" s="1278" t="str">
        <f>W9</f>
        <v>Groep H</v>
      </c>
      <c r="X41" s="1279"/>
      <c r="Y41" s="4"/>
      <c r="Z41" s="1278" t="str">
        <f>Z9</f>
        <v>Groep I</v>
      </c>
      <c r="AA41" s="1279"/>
      <c r="AB41" s="4"/>
      <c r="AC41" s="1278" t="str">
        <f>AC9</f>
        <v>Groep J</v>
      </c>
      <c r="AD41" s="1279"/>
      <c r="AE41" s="4"/>
      <c r="AF41" s="1278" t="str">
        <f>AF9</f>
        <v>Groep K</v>
      </c>
      <c r="AG41" s="1279"/>
      <c r="AH41" s="4"/>
      <c r="AI41" s="1278" t="str">
        <f>AI9</f>
        <v>Groep L</v>
      </c>
      <c r="AJ41" s="1279"/>
      <c r="AK41" s="18"/>
      <c r="AL41" s="528" t="str">
        <f>IF(OR(ThirdPlaced!$D26&gt;0,ThirdPlaced!$G26&gt;0),ThirdPlaced!$C26,"")</f>
        <v>Qatar</v>
      </c>
      <c r="AM41" s="529" t="str">
        <f>IF(AL41&lt;&gt;"","   "&amp;ThirdPlaced!$D26&amp;"        "&amp;ThirdPlaced!$F26&amp;Language!$E$197&amp;ThirdPlaced!$G26,"")</f>
        <v xml:space="preserve">   3        0 : 0</v>
      </c>
      <c r="AN41" s="530" t="str">
        <f>IF(AL41&lt;&gt;"",ThirdPlaced!$I26,"")</f>
        <v>B</v>
      </c>
      <c r="AO41" s="4"/>
      <c r="AP41" s="4"/>
      <c r="AQ41" s="4"/>
      <c r="AR41" s="430"/>
      <c r="AS41" s="430"/>
      <c r="AT41" s="49"/>
      <c r="AU41" s="430"/>
      <c r="AV41" s="430"/>
      <c r="AW41" s="4"/>
    </row>
    <row r="42" spans="1:49">
      <c r="A42" s="86" t="s">
        <v>2</v>
      </c>
      <c r="B42" s="619" t="str">
        <f>IF(CalcA!$L22,B3,"")</f>
        <v>Mexico</v>
      </c>
      <c r="C42" s="618" t="str">
        <f>IF(CalcA!$L22,C3,"")</f>
        <v xml:space="preserve">   3        0 : 0</v>
      </c>
      <c r="D42" s="86" t="s">
        <v>3</v>
      </c>
      <c r="E42" s="617" t="str">
        <f>IF(CalcB!$L22,E3,"")</f>
        <v>Zwitserland</v>
      </c>
      <c r="F42" s="618" t="str">
        <f>IF(CalcB!$L22,F3,"")</f>
        <v xml:space="preserve">   3        0 : 0</v>
      </c>
      <c r="G42" s="86" t="s">
        <v>4</v>
      </c>
      <c r="H42" s="617" t="str">
        <f>IF(CalcC!$L22,H3,"")</f>
        <v>Brazilië</v>
      </c>
      <c r="I42" s="618" t="str">
        <f>IF(CalcC!$L22,I3,"")</f>
        <v xml:space="preserve">   3        0 : 0</v>
      </c>
      <c r="J42" s="86" t="s">
        <v>5</v>
      </c>
      <c r="K42" s="617" t="str">
        <f>IF(CalcD!$L22,K3,"")</f>
        <v>USA</v>
      </c>
      <c r="L42" s="618" t="str">
        <f>IF(CalcD!$L22,L3,"")</f>
        <v xml:space="preserve">   3        0 : 0</v>
      </c>
      <c r="M42" s="86" t="s">
        <v>6</v>
      </c>
      <c r="N42" s="617" t="str">
        <f>IF(CalcE!$L22,N3,"")</f>
        <v>Duitsland</v>
      </c>
      <c r="O42" s="618" t="str">
        <f>IF(CalcE!$L22,O3,"")</f>
        <v xml:space="preserve">   3        0 : 0</v>
      </c>
      <c r="P42" s="86" t="s">
        <v>7</v>
      </c>
      <c r="Q42" s="617" t="str">
        <f>IF(CalcF!$L22,Q3,"")</f>
        <v>Nederland</v>
      </c>
      <c r="R42" s="618" t="str">
        <f>IF(CalcF!$L22,R3,"")</f>
        <v xml:space="preserve">   3        0 : 0</v>
      </c>
      <c r="S42" s="86" t="s">
        <v>93</v>
      </c>
      <c r="T42" s="617" t="str">
        <f>IF(CalcG!$L22,T3,"")</f>
        <v>België</v>
      </c>
      <c r="U42" s="618" t="str">
        <f>IF(CalcG!$L22,U3,"")</f>
        <v xml:space="preserve">   3        0 : 0</v>
      </c>
      <c r="V42" s="86" t="s">
        <v>96</v>
      </c>
      <c r="W42" s="617" t="str">
        <f>IF(CalcH!$L22,W3,"")</f>
        <v>Spanje</v>
      </c>
      <c r="X42" s="618" t="str">
        <f>IF(CalcH!$L22,X3,"")</f>
        <v xml:space="preserve">   3        0 : 0</v>
      </c>
      <c r="Y42" s="86" t="s">
        <v>855</v>
      </c>
      <c r="Z42" s="617" t="str">
        <f>IF(CalcI!$L22,Z3,"")</f>
        <v>Frankrijk</v>
      </c>
      <c r="AA42" s="618" t="str">
        <f>IF(CalcI!$L22,AA3,"")</f>
        <v xml:space="preserve">   3        0 : 0</v>
      </c>
      <c r="AB42" s="86" t="s">
        <v>858</v>
      </c>
      <c r="AC42" s="617" t="str">
        <f>IF(CalcJ!$L22,AC3,"")</f>
        <v>Argentinië</v>
      </c>
      <c r="AD42" s="618" t="str">
        <f>IF(CalcJ!$L22,AD3,"")</f>
        <v xml:space="preserve">   3        0 : 0</v>
      </c>
      <c r="AE42" s="86" t="s">
        <v>861</v>
      </c>
      <c r="AF42" s="617" t="str">
        <f>IF(CalcK!$L22,AF3,"")</f>
        <v>Portugal</v>
      </c>
      <c r="AG42" s="618" t="str">
        <f>IF(CalcK!$L22,AG3,"")</f>
        <v xml:space="preserve">   3        0 : 0</v>
      </c>
      <c r="AH42" s="86" t="s">
        <v>864</v>
      </c>
      <c r="AI42" s="617" t="str">
        <f>IF(CalcL!$L22,AI3,"")</f>
        <v>Engeland</v>
      </c>
      <c r="AJ42" s="618" t="str">
        <f>IF(CalcL!$L22,AJ3,"")</f>
        <v xml:space="preserve">   3        0 : 0</v>
      </c>
      <c r="AK42" s="427"/>
      <c r="AL42" s="528" t="str">
        <f>IF(OR(ThirdPlaced!$D27&gt;0,ThirdPlaced!$G27&gt;0),ThirdPlaced!$C27,"")</f>
        <v>Saoedi-Arabië</v>
      </c>
      <c r="AM42" s="529" t="str">
        <f>IF(AL42&lt;&gt;"","   "&amp;ThirdPlaced!$D27&amp;"        "&amp;ThirdPlaced!$F27&amp;Language!$E$197&amp;ThirdPlaced!$G27,"")</f>
        <v xml:space="preserve">   3        0 : 0</v>
      </c>
      <c r="AN42" s="530" t="str">
        <f>IF(AL42&lt;&gt;"",ThirdPlaced!$I27,"")</f>
        <v>H</v>
      </c>
      <c r="AO42" s="4"/>
      <c r="AP42" s="4"/>
      <c r="AQ42" s="4"/>
      <c r="AR42" s="429"/>
      <c r="AS42" s="429"/>
      <c r="AT42" s="427"/>
      <c r="AU42" s="429"/>
      <c r="AV42" s="429"/>
      <c r="AW42" s="4"/>
    </row>
    <row r="43" spans="1:49" ht="15.75" thickBot="1">
      <c r="A43" s="86" t="s">
        <v>8</v>
      </c>
      <c r="B43" s="617" t="str">
        <f>IF(CalcA!$L23,B4,"")</f>
        <v>Zuid-Korea</v>
      </c>
      <c r="C43" s="618" t="str">
        <f>IF(CalcA!$L23,C4,"")</f>
        <v xml:space="preserve">   3        0 : 0</v>
      </c>
      <c r="D43" s="86" t="s">
        <v>9</v>
      </c>
      <c r="E43" s="617" t="str">
        <f>IF(CalcB!$L23,E4,"")</f>
        <v>Canada</v>
      </c>
      <c r="F43" s="618" t="str">
        <f>IF(CalcB!$L23,F4,"")</f>
        <v xml:space="preserve">   3        0 : 0</v>
      </c>
      <c r="G43" s="86" t="s">
        <v>10</v>
      </c>
      <c r="H43" s="617" t="str">
        <f>IF(CalcC!$L23,H4,"")</f>
        <v>Marokko</v>
      </c>
      <c r="I43" s="618" t="str">
        <f>IF(CalcC!$L23,I4,"")</f>
        <v xml:space="preserve">   3        0 : 0</v>
      </c>
      <c r="J43" s="86" t="s">
        <v>11</v>
      </c>
      <c r="K43" s="617" t="str">
        <f>IF(CalcD!$L23,K4,"")</f>
        <v>Turkije</v>
      </c>
      <c r="L43" s="618" t="str">
        <f>IF(CalcD!$L23,L4,"")</f>
        <v xml:space="preserve">   3        0 : 0</v>
      </c>
      <c r="M43" s="86" t="s">
        <v>12</v>
      </c>
      <c r="N43" s="617" t="str">
        <f>IF(CalcE!$L23,N4,"")</f>
        <v>Ecuador</v>
      </c>
      <c r="O43" s="618" t="str">
        <f>IF(CalcE!$L23,O4,"")</f>
        <v xml:space="preserve">   3        0 : 0</v>
      </c>
      <c r="P43" s="86" t="s">
        <v>13</v>
      </c>
      <c r="Q43" s="617" t="str">
        <f>IF(CalcF!$L23,Q4,"")</f>
        <v>Japan</v>
      </c>
      <c r="R43" s="618" t="str">
        <f>IF(CalcF!$L23,R4,"")</f>
        <v xml:space="preserve">   3        0 : 0</v>
      </c>
      <c r="S43" s="86" t="s">
        <v>94</v>
      </c>
      <c r="T43" s="617" t="str">
        <f>IF(CalcG!$L23,T4,"")</f>
        <v>Nieuw-Zeeland</v>
      </c>
      <c r="U43" s="618" t="str">
        <f>IF(CalcG!$L23,U4,"")</f>
        <v xml:space="preserve">   3        0 : 0</v>
      </c>
      <c r="V43" s="86" t="s">
        <v>97</v>
      </c>
      <c r="W43" s="617" t="str">
        <f>IF(CalcH!$L23,W4,"")</f>
        <v>Uruguay</v>
      </c>
      <c r="X43" s="618" t="str">
        <f>IF(CalcH!$L23,X4,"")</f>
        <v xml:space="preserve">   3        0 : 0</v>
      </c>
      <c r="Y43" s="86" t="s">
        <v>856</v>
      </c>
      <c r="Z43" s="617" t="str">
        <f>IF(CalcI!$L23,Z4,"")</f>
        <v>Senegal</v>
      </c>
      <c r="AA43" s="618" t="str">
        <f>IF(CalcI!$L23,AA4,"")</f>
        <v xml:space="preserve">   3        0 : 0</v>
      </c>
      <c r="AB43" s="86" t="s">
        <v>859</v>
      </c>
      <c r="AC43" s="617" t="str">
        <f>IF(CalcJ!$L23,AC4,"")</f>
        <v>Oostenrijk</v>
      </c>
      <c r="AD43" s="618" t="str">
        <f>IF(CalcJ!$L23,AD4,"")</f>
        <v xml:space="preserve">   3        0 : 0</v>
      </c>
      <c r="AE43" s="86" t="s">
        <v>862</v>
      </c>
      <c r="AF43" s="617" t="str">
        <f>IF(CalcK!$L23,AF4,"")</f>
        <v>Colombia</v>
      </c>
      <c r="AG43" s="618" t="str">
        <f>IF(CalcK!$L23,AG4,"")</f>
        <v xml:space="preserve">   3        0 : 0</v>
      </c>
      <c r="AH43" s="86" t="s">
        <v>865</v>
      </c>
      <c r="AI43" s="617" t="str">
        <f>IF(CalcL!$L23,AI4,"")</f>
        <v>Kroatië</v>
      </c>
      <c r="AJ43" s="618" t="str">
        <f>IF(CalcL!$L23,AJ4,"")</f>
        <v xml:space="preserve">   3        0 : 0</v>
      </c>
      <c r="AK43" s="427"/>
      <c r="AL43" s="542" t="str">
        <f>IF(OR(ThirdPlaced!$D28&gt;0,ThirdPlaced!$G28&gt;0),ThirdPlaced!$C28,"")</f>
        <v>Iran</v>
      </c>
      <c r="AM43" s="543" t="str">
        <f>IF(AL43&lt;&gt;"","   "&amp;ThirdPlaced!$D28&amp;"        "&amp;ThirdPlaced!$F28&amp;Language!$E$197&amp;ThirdPlaced!$G28,"")</f>
        <v xml:space="preserve">   2        0 : 0</v>
      </c>
      <c r="AN43" s="544" t="str">
        <f>IF(AL43&lt;&gt;"",ThirdPlaced!$I28,"")</f>
        <v>G</v>
      </c>
      <c r="AO43" s="4"/>
      <c r="AP43" s="4"/>
      <c r="AQ43" s="4"/>
      <c r="AR43" s="429"/>
      <c r="AS43" s="429"/>
      <c r="AT43" s="427"/>
      <c r="AU43" s="429"/>
      <c r="AV43" s="429"/>
      <c r="AW43" s="4"/>
    </row>
    <row r="44" spans="1:49">
      <c r="A44" s="87" t="s">
        <v>14</v>
      </c>
      <c r="B44" s="615" t="str">
        <f>IF(CalcA!$L24,B5,"")</f>
        <v>Tsjechië</v>
      </c>
      <c r="C44" s="616" t="str">
        <f>IF(CalcA!$L24,C5,"")</f>
        <v xml:space="preserve">   3        0 : 0</v>
      </c>
      <c r="D44" s="87" t="s">
        <v>15</v>
      </c>
      <c r="E44" s="615" t="str">
        <f>IF(CalcB!$L24,E5,"")</f>
        <v>Qatar</v>
      </c>
      <c r="F44" s="616" t="str">
        <f>IF(CalcB!$L24,F5,"")</f>
        <v xml:space="preserve">   3        0 : 0</v>
      </c>
      <c r="G44" s="87" t="s">
        <v>16</v>
      </c>
      <c r="H44" s="615" t="str">
        <f>IF(CalcC!$L24,H5,"")</f>
        <v>Schotland</v>
      </c>
      <c r="I44" s="616" t="str">
        <f>IF(CalcC!$L24,I5,"")</f>
        <v xml:space="preserve">   3        0 : 0</v>
      </c>
      <c r="J44" s="87" t="s">
        <v>17</v>
      </c>
      <c r="K44" s="615" t="str">
        <f>IF(CalcD!$L24,K5,"")</f>
        <v>Australië</v>
      </c>
      <c r="L44" s="616" t="str">
        <f>IF(CalcD!$L24,L5,"")</f>
        <v xml:space="preserve">   3        0 : 0</v>
      </c>
      <c r="M44" s="87" t="s">
        <v>18</v>
      </c>
      <c r="N44" s="615" t="str">
        <f>IF(CalcE!$L24,N5,"")</f>
        <v>Ivoorkust</v>
      </c>
      <c r="O44" s="616" t="str">
        <f>IF(CalcE!$L24,O5,"")</f>
        <v xml:space="preserve">   3        0 : 0</v>
      </c>
      <c r="P44" s="87" t="s">
        <v>19</v>
      </c>
      <c r="Q44" s="615" t="str">
        <f>IF(CalcF!$L24,Q5,"")</f>
        <v>Zweden</v>
      </c>
      <c r="R44" s="616" t="str">
        <f>IF(CalcF!$L24,R5,"")</f>
        <v xml:space="preserve">   3        0 : 0</v>
      </c>
      <c r="S44" s="87" t="s">
        <v>95</v>
      </c>
      <c r="T44" s="615" t="str">
        <f>IF(CalcG!$L24,T5,"")</f>
        <v>Iran</v>
      </c>
      <c r="U44" s="616" t="str">
        <f>IF(CalcG!$L24,U5,"")</f>
        <v xml:space="preserve">   2        0 : 0</v>
      </c>
      <c r="V44" s="87" t="s">
        <v>98</v>
      </c>
      <c r="W44" s="615" t="str">
        <f>IF(CalcH!$L24,W5,"")</f>
        <v>Saoedi-Arabië</v>
      </c>
      <c r="X44" s="616" t="str">
        <f>IF(CalcH!$L24,X5,"")</f>
        <v xml:space="preserve">   3        0 : 0</v>
      </c>
      <c r="Y44" s="87" t="s">
        <v>857</v>
      </c>
      <c r="Z44" s="615" t="str">
        <f>IF(CalcI!$L24,Z5,"")</f>
        <v>Noorwegen</v>
      </c>
      <c r="AA44" s="616" t="str">
        <f>IF(CalcI!$L24,AA5,"")</f>
        <v xml:space="preserve">   3        0 : 0</v>
      </c>
      <c r="AB44" s="87" t="s">
        <v>860</v>
      </c>
      <c r="AC44" s="615" t="str">
        <f>IF(CalcJ!$L24,AC5,"")</f>
        <v>Algerije</v>
      </c>
      <c r="AD44" s="616" t="str">
        <f>IF(CalcJ!$L24,AD5,"")</f>
        <v xml:space="preserve">   3        0 : 0</v>
      </c>
      <c r="AE44" s="87" t="s">
        <v>863</v>
      </c>
      <c r="AF44" s="615" t="str">
        <f>IF(CalcK!$L24,AF5,"")</f>
        <v>Congo</v>
      </c>
      <c r="AG44" s="616" t="str">
        <f>IF(CalcK!$L24,AG5,"")</f>
        <v xml:space="preserve">   3        0 : 0</v>
      </c>
      <c r="AH44" s="87" t="s">
        <v>866</v>
      </c>
      <c r="AI44" s="615" t="str">
        <f>IF(CalcL!$L24,AI5,"")</f>
        <v>Panama</v>
      </c>
      <c r="AJ44" s="616" t="str">
        <f>IF(CalcL!$L24,AJ5,"")</f>
        <v xml:space="preserve">   3        0 : 0</v>
      </c>
      <c r="AK44" s="428"/>
      <c r="AL44" s="1034">
        <f>IF(Distinctness!$G$17&gt;0,ThirdPlaced!$I29,"")</f>
        <v>0</v>
      </c>
      <c r="AM44" s="1035"/>
      <c r="AN44" s="1036"/>
      <c r="AO44" s="429"/>
      <c r="AP44" s="429"/>
      <c r="AQ44" s="428"/>
      <c r="AR44" s="429"/>
      <c r="AS44" s="429"/>
      <c r="AT44" s="428"/>
      <c r="AU44" s="429"/>
      <c r="AV44" s="429"/>
      <c r="AW44" s="4"/>
    </row>
    <row r="45" spans="1:49">
      <c r="A45" s="87" t="s">
        <v>1631</v>
      </c>
      <c r="B45" s="615" t="str">
        <f>IF(CalcA!$L25,B6,"")</f>
        <v>Zuid-Afrika</v>
      </c>
      <c r="C45" s="616" t="str">
        <f>IF(CalcA!$L25,C6,"")</f>
        <v xml:space="preserve">   3        0 : 0</v>
      </c>
      <c r="D45" s="87" t="s">
        <v>1632</v>
      </c>
      <c r="E45" s="615" t="str">
        <f>IF(CalcB!$L25,E6,"")</f>
        <v>Bosnië/Herz.</v>
      </c>
      <c r="F45" s="616" t="str">
        <f>IF(CalcB!$L25,F6,"")</f>
        <v xml:space="preserve">   3        0 : 0</v>
      </c>
      <c r="G45" s="87" t="s">
        <v>1633</v>
      </c>
      <c r="H45" s="615" t="str">
        <f>IF(CalcC!$L25,H6,"")</f>
        <v>Haïti</v>
      </c>
      <c r="I45" s="616" t="str">
        <f>IF(CalcC!$L25,I6,"")</f>
        <v xml:space="preserve">   3        0 : 0</v>
      </c>
      <c r="J45" s="87" t="s">
        <v>1634</v>
      </c>
      <c r="K45" s="615" t="str">
        <f>IF(CalcD!$L25,K6,"")</f>
        <v>Paraguay</v>
      </c>
      <c r="L45" s="616" t="str">
        <f>IF(CalcD!$L25,L6,"")</f>
        <v xml:space="preserve">   3        0 : 0</v>
      </c>
      <c r="M45" s="87" t="s">
        <v>1635</v>
      </c>
      <c r="N45" s="615" t="str">
        <f>IF(CalcE!$L25,N6,"")</f>
        <v>Curacao</v>
      </c>
      <c r="O45" s="616" t="str">
        <f>IF(CalcE!$L25,O6,"")</f>
        <v xml:space="preserve">   3        0 : 0</v>
      </c>
      <c r="P45" s="87" t="s">
        <v>1636</v>
      </c>
      <c r="Q45" s="615" t="str">
        <f>IF(CalcF!$L25,Q6,"")</f>
        <v>Tunesië</v>
      </c>
      <c r="R45" s="616" t="str">
        <f>IF(CalcF!$L25,R6,"")</f>
        <v xml:space="preserve">   3        0 : 0</v>
      </c>
      <c r="S45" s="87" t="s">
        <v>1637</v>
      </c>
      <c r="T45" s="615" t="str">
        <f>IF(CalcG!$L25,T6,"")</f>
        <v>Egypte</v>
      </c>
      <c r="U45" s="616" t="str">
        <f>IF(CalcG!$L25,U6,"")</f>
        <v xml:space="preserve">   2        0 : 0</v>
      </c>
      <c r="V45" s="87" t="s">
        <v>1638</v>
      </c>
      <c r="W45" s="615" t="str">
        <f>IF(CalcH!$L25,W6,"")</f>
        <v>Kaapverdië</v>
      </c>
      <c r="X45" s="616" t="str">
        <f>IF(CalcH!$L25,X6,"")</f>
        <v xml:space="preserve">   3        0 : 0</v>
      </c>
      <c r="Y45" s="87" t="s">
        <v>1639</v>
      </c>
      <c r="Z45" s="615" t="str">
        <f>IF(CalcI!$L25,Z6,"")</f>
        <v>Irak</v>
      </c>
      <c r="AA45" s="616" t="str">
        <f>IF(CalcI!$L25,AA6,"")</f>
        <v xml:space="preserve">   3        0 : 0</v>
      </c>
      <c r="AB45" s="87" t="s">
        <v>1640</v>
      </c>
      <c r="AC45" s="615" t="str">
        <f>IF(CalcJ!$L25,AC6,"")</f>
        <v>Jordanië</v>
      </c>
      <c r="AD45" s="616" t="str">
        <f>IF(CalcJ!$L25,AD6,"")</f>
        <v xml:space="preserve">   3        0 : 0</v>
      </c>
      <c r="AE45" s="87" t="s">
        <v>1641</v>
      </c>
      <c r="AF45" s="615" t="str">
        <f>IF(CalcK!$L25,AF6,"")</f>
        <v>Oezbekistan</v>
      </c>
      <c r="AG45" s="616" t="str">
        <f>IF(CalcK!$L25,AG6,"")</f>
        <v xml:space="preserve">   3        0 : 0</v>
      </c>
      <c r="AH45" s="87" t="s">
        <v>1642</v>
      </c>
      <c r="AI45" s="615" t="str">
        <f>IF(CalcL!$L25,AI6,"")</f>
        <v>Ghana</v>
      </c>
      <c r="AJ45" s="616" t="str">
        <f>IF(CalcL!$L25,AJ6,"")</f>
        <v xml:space="preserve">   3        0 : 0</v>
      </c>
      <c r="AK45" s="428"/>
      <c r="AL45" s="1034" t="str">
        <f>IF(Distinctness!$G$17&gt;0,ThirdPlaced!$I30,"")</f>
        <v>ACDEFIJL</v>
      </c>
      <c r="AM45" s="1035"/>
      <c r="AN45" s="1036"/>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282" t="str">
        <f>VLOOKUP(VLOOKUP(A48,Matches!$B$77:$K$92,10,0),Language!$D$142:$E$157,2,0)</f>
        <v>ronde van 32 - 3</v>
      </c>
      <c r="C47" s="1283"/>
      <c r="D47" s="4"/>
      <c r="E47" s="1282" t="str">
        <f>VLOOKUP(VLOOKUP(D48,Matches!$B$77:$K$92,10,0),Language!$D$142:$E$157,2,0)</f>
        <v>ronde van 32 - 6</v>
      </c>
      <c r="F47" s="1283"/>
      <c r="G47" s="4"/>
      <c r="H47" s="1282" t="str">
        <f>VLOOKUP(VLOOKUP(G48,Matches!$B$77:$K$92,10,0),Language!$D$142:$E$157,2,0)</f>
        <v>ronde van 32 - 1</v>
      </c>
      <c r="I47" s="1283"/>
      <c r="J47" s="4"/>
      <c r="K47" s="1282" t="str">
        <f>VLOOKUP(VLOOKUP(J48,Matches!$B$77:$K$92,10,0),Language!$D$142:$E$157,2,0)</f>
        <v>ronde van 32 - 4</v>
      </c>
      <c r="L47" s="1283"/>
      <c r="M47" s="4"/>
      <c r="N47" s="1282" t="str">
        <f>VLOOKUP(VLOOKUP(M48,Matches!$B$77:$K$92,10,0),Language!$D$142:$E$157,2,0)</f>
        <v>ronde van 32 - 12</v>
      </c>
      <c r="O47" s="1283"/>
      <c r="P47" s="4"/>
      <c r="Q47" s="1282" t="str">
        <f>VLOOKUP(VLOOKUP(P48,Matches!$B$77:$K$92,10,0),Language!$D$142:$E$157,2,0)</f>
        <v>ronde van 32 - 11</v>
      </c>
      <c r="R47" s="1283"/>
      <c r="S47" s="4"/>
      <c r="T47" s="1282" t="str">
        <f>VLOOKUP(VLOOKUP(S48,Matches!$B$77:$K$92,10,0),Language!$D$142:$E$157,2,0)</f>
        <v>ronde van 32 - 10</v>
      </c>
      <c r="U47" s="1283"/>
      <c r="V47" s="4"/>
      <c r="W47" s="1282" t="str">
        <f>VLOOKUP(VLOOKUP(V48,Matches!$B$77:$K$92,10,0),Language!$D$142:$E$157,2,0)</f>
        <v>ronde van 32 - 9</v>
      </c>
      <c r="X47" s="1283"/>
      <c r="Y47" s="4"/>
      <c r="Z47" s="1282" t="str">
        <f>VLOOKUP(VLOOKUP(Y48,Matches!$B$77:$K$92,10,0),Language!$D$142:$E$157,2,0)</f>
        <v>ronde van 32 - 2</v>
      </c>
      <c r="AA47" s="1283"/>
      <c r="AB47" s="4"/>
      <c r="AC47" s="1282" t="str">
        <f>VLOOKUP(VLOOKUP(AB48,Matches!$B$77:$K$92,10,0),Language!$D$142:$E$157,2,0)</f>
        <v>ronde van 32 - 5</v>
      </c>
      <c r="AD47" s="1283"/>
      <c r="AE47" s="4"/>
      <c r="AF47" s="1282" t="str">
        <f>VLOOKUP(VLOOKUP(AE48,Matches!$B$77:$K$92,10,0),Language!$D$142:$E$157,2,0)</f>
        <v>ronde van 32 - 7</v>
      </c>
      <c r="AG47" s="1283"/>
      <c r="AH47" s="4"/>
      <c r="AI47" s="1282" t="str">
        <f>VLOOKUP(VLOOKUP(AH48,Matches!$B$77:$K$92,10,0),Language!$D$142:$E$157,2,0)</f>
        <v>ronde van 32 - 8</v>
      </c>
      <c r="AJ47" s="1283"/>
      <c r="AK47" s="4"/>
      <c r="AL47" s="1282" t="str">
        <f>VLOOKUP(VLOOKUP(AK48,Matches!$B$77:$K$92,10,0),Language!$D$142:$E$157,2,0)</f>
        <v>ronde van 32 - 15</v>
      </c>
      <c r="AM47" s="1283"/>
      <c r="AN47" s="4"/>
      <c r="AO47" s="1282" t="str">
        <f>VLOOKUP(VLOOKUP(AN48,Matches!$B$77:$K$92,10,0),Language!$D$142:$E$157,2,0)</f>
        <v>ronde van 32 - 14</v>
      </c>
      <c r="AP47" s="1283"/>
      <c r="AQ47" s="4"/>
      <c r="AR47" s="1282" t="str">
        <f>VLOOKUP(VLOOKUP(AQ48,Matches!$B$77:$K$92,10,0),Language!$D$142:$E$157,2,0)</f>
        <v>ronde van 32 - 13</v>
      </c>
      <c r="AS47" s="1283"/>
      <c r="AT47" s="4"/>
      <c r="AU47" s="1282" t="str">
        <f>VLOOKUP(VLOOKUP(AT48,Matches!$B$77:$K$92,10,0),Language!$D$142:$E$157,2,0)</f>
        <v>ronde van 32 - 16</v>
      </c>
      <c r="AV47" s="1283"/>
      <c r="AW47" s="4"/>
    </row>
    <row r="48" spans="1:49">
      <c r="A48" s="90">
        <f>RIGHT($B$64,2)*1</f>
        <v>74</v>
      </c>
      <c r="B48" s="1274" t="str">
        <f>VLOOKUP(A48,Matches!$B$4:$K$113,7,0)</f>
        <v>Boston</v>
      </c>
      <c r="C48" s="1275"/>
      <c r="D48" s="90">
        <f>RIGHT($C$64,2)*1</f>
        <v>77</v>
      </c>
      <c r="E48" s="1274" t="str">
        <f>VLOOKUP(D48,Matches!$B$4:$K$113,7,0)</f>
        <v>New York/New Jersey</v>
      </c>
      <c r="F48" s="1275"/>
      <c r="G48" s="90">
        <f>RIGHT($E$64,2)*1</f>
        <v>73</v>
      </c>
      <c r="H48" s="1274" t="str">
        <f>VLOOKUP(G48,Matches!$B$4:$K$113,7,0)</f>
        <v>Los Angeles</v>
      </c>
      <c r="I48" s="1275"/>
      <c r="J48" s="90">
        <f>RIGHT($F$64,2)*1</f>
        <v>75</v>
      </c>
      <c r="K48" s="1274" t="str">
        <f>VLOOKUP(J48,Matches!$B$4:$K$113,7,0)</f>
        <v>Monterrey</v>
      </c>
      <c r="L48" s="1275"/>
      <c r="M48" s="90">
        <f>RIGHT($H$64,2)*1</f>
        <v>83</v>
      </c>
      <c r="N48" s="1274" t="str">
        <f>VLOOKUP(M48,Matches!$B$4:$K$113,7,0)</f>
        <v>Toronto</v>
      </c>
      <c r="O48" s="1275"/>
      <c r="P48" s="90">
        <f>RIGHT($I$64,2)*1</f>
        <v>84</v>
      </c>
      <c r="Q48" s="1274" t="str">
        <f>VLOOKUP(P48,Matches!$B$4:$K$113,7,0)</f>
        <v>Los Angeles</v>
      </c>
      <c r="R48" s="1275"/>
      <c r="S48" s="90">
        <f>RIGHT($K$64,2)*1</f>
        <v>81</v>
      </c>
      <c r="T48" s="1274" t="str">
        <f>VLOOKUP(S48,Matches!$B$4:$K$113,7,0)</f>
        <v>San Francisco Bay Area</v>
      </c>
      <c r="U48" s="1275"/>
      <c r="V48" s="90">
        <f>RIGHT($L$64,2)*1</f>
        <v>82</v>
      </c>
      <c r="W48" s="1274" t="str">
        <f>VLOOKUP(V48,Matches!$B$4:$K$113,7,0)</f>
        <v>Seattle</v>
      </c>
      <c r="X48" s="1275"/>
      <c r="Y48" s="90">
        <f>RIGHT($N$64,2)*1</f>
        <v>76</v>
      </c>
      <c r="Z48" s="1274" t="str">
        <f>VLOOKUP(Y48,Matches!$B$4:$K$113,7,0)</f>
        <v>Houston</v>
      </c>
      <c r="AA48" s="1275"/>
      <c r="AB48" s="90">
        <f>RIGHT($O$64,2)*1</f>
        <v>78</v>
      </c>
      <c r="AC48" s="1274" t="str">
        <f>VLOOKUP(AB48,Matches!$B$4:$K$113,7,0)</f>
        <v>Dallas</v>
      </c>
      <c r="AD48" s="1275"/>
      <c r="AE48" s="90">
        <f>RIGHT($Q$64,2)*1</f>
        <v>79</v>
      </c>
      <c r="AF48" s="1274" t="str">
        <f>VLOOKUP(AE48,Matches!$B$4:$K$113,7,0)</f>
        <v>Mexico City</v>
      </c>
      <c r="AG48" s="1275"/>
      <c r="AH48" s="90">
        <f>RIGHT($R$64,2)*1</f>
        <v>80</v>
      </c>
      <c r="AI48" s="1274" t="str">
        <f>VLOOKUP(AH48,Matches!$B$4:$K$113,7,0)</f>
        <v>Atlanta</v>
      </c>
      <c r="AJ48" s="1275"/>
      <c r="AK48" s="90">
        <f>RIGHT($T$64,2)*1</f>
        <v>86</v>
      </c>
      <c r="AL48" s="1274" t="str">
        <f>VLOOKUP(AK48,Matches!$B$4:$K$113,7,0)</f>
        <v>Miami</v>
      </c>
      <c r="AM48" s="1275"/>
      <c r="AN48" s="90">
        <f>RIGHT($U$64,2)*1</f>
        <v>88</v>
      </c>
      <c r="AO48" s="1274" t="str">
        <f>VLOOKUP(AN48,Matches!$B$4:$K$113,7,0)</f>
        <v>Dallas</v>
      </c>
      <c r="AP48" s="1275"/>
      <c r="AQ48" s="90">
        <f>RIGHT($W$64,2)*1</f>
        <v>85</v>
      </c>
      <c r="AR48" s="1274" t="str">
        <f>VLOOKUP(AQ48,Matches!$B$4:$K$113,7,0)</f>
        <v>Vancouver</v>
      </c>
      <c r="AS48" s="1275"/>
      <c r="AT48" s="90">
        <f>RIGHT($X$64,2)*1</f>
        <v>87</v>
      </c>
      <c r="AU48" s="1274" t="str">
        <f>VLOOKUP(AT48,Matches!$B$4:$K$113,7,0)</f>
        <v>Kansas City</v>
      </c>
      <c r="AV48" s="1275"/>
      <c r="AW48" s="4"/>
    </row>
    <row r="49" spans="1:49">
      <c r="A49" s="4"/>
      <c r="B49" s="1265">
        <f>VLOOKUP(A48,Matches!$B$4:$K$113,5,0)</f>
        <v>46202.9375</v>
      </c>
      <c r="C49" s="1266"/>
      <c r="D49" s="4"/>
      <c r="E49" s="1265">
        <f>VLOOKUP(D48,Matches!$B$4:$K$113,5,0)</f>
        <v>46203.958333333336</v>
      </c>
      <c r="F49" s="1266"/>
      <c r="G49" s="4"/>
      <c r="H49" s="1265">
        <f>VLOOKUP(G48,Matches!$B$4:$K$113,5,0)</f>
        <v>46201.875</v>
      </c>
      <c r="I49" s="1266"/>
      <c r="J49" s="4"/>
      <c r="K49" s="1265">
        <f>VLOOKUP(J48,Matches!$B$4:$K$113,5,0)</f>
        <v>46203.125</v>
      </c>
      <c r="L49" s="1266"/>
      <c r="M49" s="4"/>
      <c r="N49" s="1265">
        <f>VLOOKUP(M48,Matches!$B$4:$K$113,5,0)</f>
        <v>46206.041666666664</v>
      </c>
      <c r="O49" s="1266"/>
      <c r="P49" s="4"/>
      <c r="Q49" s="1265">
        <f>VLOOKUP(P48,Matches!$B$4:$K$113,5,0)</f>
        <v>46205.875</v>
      </c>
      <c r="R49" s="1266"/>
      <c r="S49" s="4"/>
      <c r="T49" s="1265">
        <f>VLOOKUP(S48,Matches!$B$4:$K$113,5,0)</f>
        <v>46205.083333333336</v>
      </c>
      <c r="U49" s="1266"/>
      <c r="V49" s="7"/>
      <c r="W49" s="1265">
        <f>VLOOKUP(V48,Matches!$B$4:$K$113,5,0)</f>
        <v>46204.916666666664</v>
      </c>
      <c r="X49" s="1266"/>
      <c r="Y49" s="4"/>
      <c r="Z49" s="1265">
        <f>VLOOKUP(Y48,Matches!$B$4:$K$113,5,0)</f>
        <v>46202.791666666664</v>
      </c>
      <c r="AA49" s="1266"/>
      <c r="AB49" s="4"/>
      <c r="AC49" s="1265">
        <f>VLOOKUP(AB48,Matches!$B$4:$K$113,5,0)</f>
        <v>46203.791666666664</v>
      </c>
      <c r="AD49" s="1266"/>
      <c r="AE49" s="4"/>
      <c r="AF49" s="1265">
        <f>VLOOKUP(AE48,Matches!$B$4:$K$113,5,0)</f>
        <v>46204.125</v>
      </c>
      <c r="AG49" s="1266"/>
      <c r="AH49" s="4"/>
      <c r="AI49" s="1265">
        <f>VLOOKUP(AH48,Matches!$B$4:$K$113,5,0)</f>
        <v>46204.75</v>
      </c>
      <c r="AJ49" s="1266"/>
      <c r="AK49" s="4"/>
      <c r="AL49" s="1265">
        <f>VLOOKUP(AK48,Matches!$B$4:$K$113,5,0)</f>
        <v>46207</v>
      </c>
      <c r="AM49" s="1266"/>
      <c r="AN49" s="4"/>
      <c r="AO49" s="1265">
        <f>VLOOKUP(AN48,Matches!$B$4:$K$113,5,0)</f>
        <v>46206.833333333336</v>
      </c>
      <c r="AP49" s="1266"/>
      <c r="AQ49" s="4"/>
      <c r="AR49" s="1265">
        <f>VLOOKUP(AQ48,Matches!$B$4:$K$113,5,0)</f>
        <v>46206.208333333336</v>
      </c>
      <c r="AS49" s="1266"/>
      <c r="AT49" s="7"/>
      <c r="AU49" s="1265">
        <f>VLOOKUP(AT48,Matches!$B$4:$K$113,5,0)</f>
        <v>46207.145833333336</v>
      </c>
      <c r="AV49" s="1266"/>
      <c r="AW49" s="4"/>
    </row>
    <row r="50" spans="1:49">
      <c r="A50" s="4"/>
      <c r="B50" s="45" t="str">
        <f>VLOOKUP(A48,Matches!$B$4:$K$113,8,0)</f>
        <v>Duitsland</v>
      </c>
      <c r="C50" s="46" t="str">
        <f>VLOOKUP(A48,Matches!$B$4:$K$113,9,0)</f>
        <v>Australië</v>
      </c>
      <c r="D50" s="4"/>
      <c r="E50" s="45" t="str">
        <f>VLOOKUP(D48,Matches!$B$4:$K$113,8,0)</f>
        <v>Frankrijk</v>
      </c>
      <c r="F50" s="46" t="str">
        <f>VLOOKUP(D48,Matches!$B$4:$K$113,9,0)</f>
        <v>Zweden</v>
      </c>
      <c r="G50" s="4"/>
      <c r="H50" s="45" t="str">
        <f>VLOOKUP(G48,Matches!$B$4:$K$113,8,0)</f>
        <v>Zuid-Korea</v>
      </c>
      <c r="I50" s="46" t="str">
        <f>VLOOKUP(G48,Matches!$B$4:$K$113,9,0)</f>
        <v>Canada</v>
      </c>
      <c r="J50" s="4"/>
      <c r="K50" s="45" t="str">
        <f>VLOOKUP(J48,Matches!$B$4:$K$113,8,0)</f>
        <v>Nederland</v>
      </c>
      <c r="L50" s="46" t="str">
        <f>VLOOKUP(J48,Matches!$B$4:$K$113,9,0)</f>
        <v>Marokko</v>
      </c>
      <c r="M50" s="4"/>
      <c r="N50" s="45" t="str">
        <f>VLOOKUP(M48,Matches!$B$4:$K$113,8,0)</f>
        <v>Colombia</v>
      </c>
      <c r="O50" s="46" t="str">
        <f>VLOOKUP(M48,Matches!$B$4:$K$113,9,0)</f>
        <v>Kroatië</v>
      </c>
      <c r="P50" s="4"/>
      <c r="Q50" s="45" t="str">
        <f>VLOOKUP(P48,Matches!$B$4:$K$113,8,0)</f>
        <v>Spanje</v>
      </c>
      <c r="R50" s="46" t="str">
        <f>VLOOKUP(P48,Matches!$B$4:$K$113,9,0)</f>
        <v>Oostenrijk</v>
      </c>
      <c r="S50" s="4"/>
      <c r="T50" s="45" t="str">
        <f>VLOOKUP(S48,Matches!$B$4:$K$113,8,0)</f>
        <v>USA</v>
      </c>
      <c r="U50" s="46" t="str">
        <f>VLOOKUP(S48,Matches!$B$4:$K$113,9,0)</f>
        <v>Ivoorkust</v>
      </c>
      <c r="V50" s="4"/>
      <c r="W50" s="45" t="str">
        <f>VLOOKUP(V48,Matches!$B$4:$K$113,8,0)</f>
        <v>België</v>
      </c>
      <c r="X50" s="46" t="str">
        <f>VLOOKUP(V48,Matches!$B$4:$K$113,9,0)</f>
        <v>Tsjechië</v>
      </c>
      <c r="Y50" s="4"/>
      <c r="Z50" s="45" t="str">
        <f>VLOOKUP(Y48,Matches!$B$4:$K$113,8,0)</f>
        <v>Brazilië</v>
      </c>
      <c r="AA50" s="46" t="str">
        <f>VLOOKUP(Y48,Matches!$B$4:$K$113,9,0)</f>
        <v>Japan</v>
      </c>
      <c r="AB50" s="4"/>
      <c r="AC50" s="45" t="str">
        <f>VLOOKUP(AB48,Matches!$B$4:$K$113,8,0)</f>
        <v>Ecuador</v>
      </c>
      <c r="AD50" s="46" t="str">
        <f>VLOOKUP(AB48,Matches!$B$4:$K$113,9,0)</f>
        <v>Senegal</v>
      </c>
      <c r="AE50" s="4"/>
      <c r="AF50" s="45" t="str">
        <f>VLOOKUP(AE48,Matches!$B$4:$K$113,8,0)</f>
        <v>Mexico</v>
      </c>
      <c r="AG50" s="46" t="str">
        <f>VLOOKUP(AE48,Matches!$B$4:$K$113,9,0)</f>
        <v>Schotland</v>
      </c>
      <c r="AH50" s="4"/>
      <c r="AI50" s="45" t="str">
        <f>VLOOKUP(AH48,Matches!$B$4:$K$113,8,0)</f>
        <v>Engeland</v>
      </c>
      <c r="AJ50" s="46" t="str">
        <f>VLOOKUP(AH48,Matches!$B$4:$K$113,9,0)</f>
        <v>Noorwegen</v>
      </c>
      <c r="AK50" s="4"/>
      <c r="AL50" s="45" t="str">
        <f>VLOOKUP(AK48,Matches!$B$4:$K$113,8,0)</f>
        <v>Argentinië</v>
      </c>
      <c r="AM50" s="46" t="str">
        <f>VLOOKUP(AK48,Matches!$B$4:$K$113,9,0)</f>
        <v>Uruguay</v>
      </c>
      <c r="AN50" s="4"/>
      <c r="AO50" s="45" t="str">
        <f>VLOOKUP(AN48,Matches!$B$4:$K$113,8,0)</f>
        <v>Turkije</v>
      </c>
      <c r="AP50" s="46" t="str">
        <f>VLOOKUP(AN48,Matches!$B$4:$K$113,9,0)</f>
        <v>Nieuw-Zeeland</v>
      </c>
      <c r="AQ50" s="4"/>
      <c r="AR50" s="45" t="str">
        <f>VLOOKUP(AQ48,Matches!$B$4:$K$113,8,0)</f>
        <v>Zwitserland</v>
      </c>
      <c r="AS50" s="46" t="str">
        <f>VLOOKUP(AQ48,Matches!$B$4:$K$113,9,0)</f>
        <v>Algerije</v>
      </c>
      <c r="AT50" s="4"/>
      <c r="AU50" s="45" t="str">
        <f>VLOOKUP(AT48,Matches!$B$4:$K$113,8,0)</f>
        <v>Portugal</v>
      </c>
      <c r="AV50" s="46" t="str">
        <f>VLOOKUP(AT48,Matches!$B$4:$K$113,9,0)</f>
        <v>Panama</v>
      </c>
      <c r="AW50" s="4"/>
    </row>
    <row r="51" spans="1:49" ht="15.75" thickBot="1">
      <c r="A51" s="4"/>
      <c r="B51" s="1">
        <f>'NKC - WKpool 2026'!F77</f>
        <v>0</v>
      </c>
      <c r="C51" s="2">
        <f>'NKC - WKpool 2026'!H77</f>
        <v>0</v>
      </c>
      <c r="D51" s="222"/>
      <c r="E51" s="1">
        <v>2</v>
      </c>
      <c r="F51" s="2">
        <v>3</v>
      </c>
      <c r="G51" s="222"/>
      <c r="H51" s="1">
        <f>'NKC - WKpool 2026'!F76</f>
        <v>0</v>
      </c>
      <c r="I51" s="2">
        <f>'NKC - WKpool 2026'!H76</f>
        <v>0</v>
      </c>
      <c r="J51" s="222"/>
      <c r="K51" s="1">
        <f>'NKC - WKpool 2026'!F78</f>
        <v>0</v>
      </c>
      <c r="L51" s="2">
        <f>'NKC - WKpool 2026'!H78</f>
        <v>0</v>
      </c>
      <c r="M51" s="222"/>
      <c r="N51" s="1">
        <f>'NKC - WKpool 2026'!F86</f>
        <v>0</v>
      </c>
      <c r="O51" s="2">
        <f>'NKC - WKpool 2026'!H86</f>
        <v>0</v>
      </c>
      <c r="P51" s="222"/>
      <c r="Q51" s="1">
        <f>'NKC - WKpool 2026'!F87</f>
        <v>0</v>
      </c>
      <c r="R51" s="2">
        <f>'NKC - WKpool 2026'!H87</f>
        <v>0</v>
      </c>
      <c r="S51" s="222"/>
      <c r="T51" s="1">
        <f>'NKC - WKpool 2026'!F84</f>
        <v>0</v>
      </c>
      <c r="U51" s="2">
        <f>'NKC - WKpool 2026'!H84</f>
        <v>0</v>
      </c>
      <c r="V51" s="222"/>
      <c r="W51" s="1">
        <f>'NKC - WKpool 2026'!F85</f>
        <v>0</v>
      </c>
      <c r="X51" s="2">
        <f>'NKC - WKpool 2026'!H85</f>
        <v>0</v>
      </c>
      <c r="Y51" s="222"/>
      <c r="Z51" s="1">
        <f>'NKC - WKpool 2026'!F79</f>
        <v>0</v>
      </c>
      <c r="AA51" s="2">
        <f>'NKC - WKpool 2026'!H79</f>
        <v>0</v>
      </c>
      <c r="AB51" s="222"/>
      <c r="AC51" s="1">
        <f>'NKC - WKpool 2026'!F81</f>
        <v>0</v>
      </c>
      <c r="AD51" s="2">
        <f>'NKC - WKpool 2026'!H81</f>
        <v>0</v>
      </c>
      <c r="AE51" s="222"/>
      <c r="AF51" s="1">
        <f>'NKC - WKpool 2026'!F82</f>
        <v>0</v>
      </c>
      <c r="AG51" s="2">
        <f>'NKC - WKpool 2026'!H82</f>
        <v>0</v>
      </c>
      <c r="AH51" s="222"/>
      <c r="AI51" s="1">
        <f>'NKC - WKpool 2026'!F83</f>
        <v>0</v>
      </c>
      <c r="AJ51" s="2">
        <f>'NKC - WKpool 2026'!H83</f>
        <v>0</v>
      </c>
      <c r="AK51" s="222"/>
      <c r="AL51" s="1">
        <f>'NKC - WKpool 2026'!F89</f>
        <v>0</v>
      </c>
      <c r="AM51" s="2">
        <f>'NKC - WKpool 2026'!H89</f>
        <v>0</v>
      </c>
      <c r="AN51" s="222"/>
      <c r="AO51" s="1">
        <f>'NKC - WKpool 2026'!F91</f>
        <v>0</v>
      </c>
      <c r="AP51" s="2">
        <f>'NKC - WKpool 2026'!H91</f>
        <v>0</v>
      </c>
      <c r="AQ51" s="222"/>
      <c r="AR51" s="1">
        <f>'NKC - WKpool 2026'!F88</f>
        <v>0</v>
      </c>
      <c r="AS51" s="2">
        <f>'NKC - WKpool 2026'!H88</f>
        <v>0</v>
      </c>
      <c r="AT51" s="222"/>
      <c r="AU51" s="1">
        <f>'NKC - WKpool 2026'!F90</f>
        <v>0</v>
      </c>
      <c r="AV51" s="2">
        <f>'NKC - WKpool 2026'!H90</f>
        <v>0</v>
      </c>
      <c r="AW51" s="223"/>
    </row>
    <row r="52" spans="1:49" ht="9.9499999999999993" customHeight="1">
      <c r="A52" s="4"/>
      <c r="B52" s="1267" t="str">
        <f>Language!$E$175</f>
        <v>Penalties:</v>
      </c>
      <c r="C52" s="1268"/>
      <c r="D52" s="4"/>
      <c r="E52" s="1267" t="str">
        <f>Language!$E$175</f>
        <v>Penalties:</v>
      </c>
      <c r="F52" s="1268"/>
      <c r="G52" s="4"/>
      <c r="H52" s="1267" t="str">
        <f>Language!$E$175</f>
        <v>Penalties:</v>
      </c>
      <c r="I52" s="1268"/>
      <c r="J52" s="4"/>
      <c r="K52" s="1267" t="str">
        <f>Language!$E$175</f>
        <v>Penalties:</v>
      </c>
      <c r="L52" s="1268"/>
      <c r="M52" s="4"/>
      <c r="N52" s="1267" t="str">
        <f>Language!$E$175</f>
        <v>Penalties:</v>
      </c>
      <c r="O52" s="1268"/>
      <c r="P52" s="4"/>
      <c r="Q52" s="1267" t="str">
        <f>Language!$E$175</f>
        <v>Penalties:</v>
      </c>
      <c r="R52" s="1268"/>
      <c r="S52" s="4"/>
      <c r="T52" s="1267" t="str">
        <f>Language!$E$175</f>
        <v>Penalties:</v>
      </c>
      <c r="U52" s="1268"/>
      <c r="V52" s="4"/>
      <c r="W52" s="1267" t="str">
        <f>Language!$E$175</f>
        <v>Penalties:</v>
      </c>
      <c r="X52" s="1268"/>
      <c r="Y52" s="4"/>
      <c r="Z52" s="1267" t="str">
        <f>Language!$E$175</f>
        <v>Penalties:</v>
      </c>
      <c r="AA52" s="1268"/>
      <c r="AB52" s="4"/>
      <c r="AC52" s="1267" t="str">
        <f>Language!$E$175</f>
        <v>Penalties:</v>
      </c>
      <c r="AD52" s="1268"/>
      <c r="AE52" s="4"/>
      <c r="AF52" s="1267" t="str">
        <f>Language!$E$175</f>
        <v>Penalties:</v>
      </c>
      <c r="AG52" s="1268"/>
      <c r="AH52" s="4"/>
      <c r="AI52" s="1267" t="str">
        <f>Language!$E$175</f>
        <v>Penalties:</v>
      </c>
      <c r="AJ52" s="1268"/>
      <c r="AK52" s="4"/>
      <c r="AL52" s="1288" t="str">
        <f>Language!$E$175</f>
        <v>Penalties:</v>
      </c>
      <c r="AM52" s="1290"/>
      <c r="AN52" s="4"/>
      <c r="AO52" s="1288" t="str">
        <f>Language!$E$175</f>
        <v>Penalties:</v>
      </c>
      <c r="AP52" s="1290"/>
      <c r="AQ52" s="4"/>
      <c r="AR52" s="1288" t="str">
        <f>Language!$E$175</f>
        <v>Penalties:</v>
      </c>
      <c r="AS52" s="1290"/>
      <c r="AT52" s="4"/>
      <c r="AU52" s="1288" t="str">
        <f>Language!$E$175</f>
        <v>Penalties:</v>
      </c>
      <c r="AV52" s="1290"/>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1264" t="str">
        <f>IF(AND(B51&lt;&gt;"",C51&lt;&gt;"",B51=C51,B53&lt;&gt;"",C53&lt;&gt;"",B53=C53),Language!$E$192,"")</f>
        <v/>
      </c>
      <c r="C55" s="1264"/>
      <c r="D55" s="11"/>
      <c r="E55" s="1264" t="str">
        <f>IF(AND(E51&lt;&gt;"",F51&lt;&gt;"",E51=F51,E53&lt;&gt;"",F53&lt;&gt;"",E53=F53),Language!$E$192,"")</f>
        <v/>
      </c>
      <c r="F55" s="1264"/>
      <c r="G55" s="11"/>
      <c r="H55" s="1264" t="str">
        <f>IF(AND(H51&lt;&gt;"",I51&lt;&gt;"",H51=I51,H53&lt;&gt;"",I53&lt;&gt;"",H53=I53),Language!$E$192,"")</f>
        <v/>
      </c>
      <c r="I55" s="1264"/>
      <c r="J55" s="11"/>
      <c r="K55" s="1264" t="str">
        <f>IF(AND(K51&lt;&gt;"",L51&lt;&gt;"",K51=L51,K53&lt;&gt;"",L53&lt;&gt;"",K53=L53),Language!$E$192,"")</f>
        <v/>
      </c>
      <c r="L55" s="1264"/>
      <c r="M55" s="11"/>
      <c r="N55" s="1264" t="str">
        <f>IF(AND(N51&lt;&gt;"",O51&lt;&gt;"",N51=O51,N53&lt;&gt;"",O53&lt;&gt;"",N53=O53),Language!$E$192,"")</f>
        <v/>
      </c>
      <c r="O55" s="1264"/>
      <c r="P55" s="11"/>
      <c r="Q55" s="1264" t="str">
        <f>IF(AND(Q51&lt;&gt;"",R51&lt;&gt;"",Q51=R51,Q53&lt;&gt;"",R53&lt;&gt;"",Q53=R53),Language!$E$192,"")</f>
        <v/>
      </c>
      <c r="R55" s="1264"/>
      <c r="S55" s="11"/>
      <c r="T55" s="1264" t="str">
        <f>IF(AND(T51&lt;&gt;"",U51&lt;&gt;"",T51=U51,T53&lt;&gt;"",U53&lt;&gt;"",T53=U53),Language!$E$192,"")</f>
        <v/>
      </c>
      <c r="U55" s="1264"/>
      <c r="V55" s="11"/>
      <c r="W55" s="1264" t="str">
        <f>IF(AND(W51&lt;&gt;"",X51&lt;&gt;"",W51=X51,W53&lt;&gt;"",X53&lt;&gt;"",W53=X53),Language!$E$192,"")</f>
        <v/>
      </c>
      <c r="X55" s="1264"/>
      <c r="Y55" s="10"/>
      <c r="Z55" s="1264" t="str">
        <f>IF(AND(Z51&lt;&gt;"",AA51&lt;&gt;"",Z51=AA51,Z53&lt;&gt;"",AA53&lt;&gt;"",Z53=AA53),Language!$E$192,"")</f>
        <v/>
      </c>
      <c r="AA55" s="1264"/>
      <c r="AB55" s="11"/>
      <c r="AC55" s="1264" t="str">
        <f>IF(AND(AC51&lt;&gt;"",AD51&lt;&gt;"",AC51=AD51,AC53&lt;&gt;"",AD53&lt;&gt;"",AC53=AD53),Language!$E$192,"")</f>
        <v/>
      </c>
      <c r="AD55" s="1264"/>
      <c r="AE55" s="11"/>
      <c r="AF55" s="1264" t="str">
        <f>IF(AND(AF51&lt;&gt;"",AG51&lt;&gt;"",AF51=AG51,AF53&lt;&gt;"",AG53&lt;&gt;"",AF53=AG53),Language!$E$192,"")</f>
        <v/>
      </c>
      <c r="AG55" s="1264"/>
      <c r="AH55" s="11"/>
      <c r="AI55" s="1264" t="str">
        <f>IF(AND(AI51&lt;&gt;"",AJ51&lt;&gt;"",AI51=AJ51,AI53&lt;&gt;"",AJ53&lt;&gt;"",AI53=AJ53),Language!$E$192,"")</f>
        <v/>
      </c>
      <c r="AJ55" s="1264"/>
      <c r="AK55" s="11"/>
      <c r="AL55" s="1264" t="str">
        <f>IF(AND(AL51&lt;&gt;"",AM51&lt;&gt;"",AL51=AM51,AL53&lt;&gt;"",AM53&lt;&gt;"",AL53=AM53),Language!$E$192,"")</f>
        <v/>
      </c>
      <c r="AM55" s="1264"/>
      <c r="AN55" s="11"/>
      <c r="AO55" s="1264" t="str">
        <f>IF(AND(AO51&lt;&gt;"",AP51&lt;&gt;"",AO51=AP51,AO53&lt;&gt;"",AP53&lt;&gt;"",AO53=AP53),Language!$E$192,"")</f>
        <v/>
      </c>
      <c r="AP55" s="1264"/>
      <c r="AQ55" s="11"/>
      <c r="AR55" s="1264" t="str">
        <f>IF(AND(AR51&lt;&gt;"",AS51&lt;&gt;"",AR51=AS51,AR53&lt;&gt;"",AS53&lt;&gt;"",AR53=AS53),Language!$E$192,"")</f>
        <v/>
      </c>
      <c r="AS55" s="1264"/>
      <c r="AT55" s="11"/>
      <c r="AU55" s="1264" t="str">
        <f>IF(AND(AU51&lt;&gt;"",AV51&lt;&gt;"",AU51=AV51,AU53&lt;&gt;"",AV53&lt;&gt;"",AU53=AV53),Language!$E$192,"")</f>
        <v/>
      </c>
      <c r="AV55" s="1264"/>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280" t="str">
        <f>VLOOKUP(VLOOKUP(A58,Matches!$B$94:$K$101,10,0),Language!$D$158:$E$165,2,0)</f>
        <v>Achtste finale 2</v>
      </c>
      <c r="C57" s="1281"/>
      <c r="D57" s="4"/>
      <c r="E57" s="1280" t="str">
        <f>VLOOKUP(VLOOKUP(D58,Matches!$B$94:$K$101,10,0),Language!$D$158:$E$165,2,0)</f>
        <v>Achtste finale 1</v>
      </c>
      <c r="F57" s="1281"/>
      <c r="G57" s="4"/>
      <c r="H57" s="1280" t="str">
        <f>VLOOKUP(VLOOKUP(G58,Matches!$B$94:$K$101,10,0),Language!$D$158:$E$165,2,0)</f>
        <v>Achtste finale 5</v>
      </c>
      <c r="I57" s="1281"/>
      <c r="J57" s="4"/>
      <c r="K57" s="1280" t="str">
        <f>VLOOKUP(VLOOKUP(J58,Matches!$B$94:$K$101,10,0),Language!$D$158:$E$165,2,0)</f>
        <v>Achtste finale 6</v>
      </c>
      <c r="L57" s="1281"/>
      <c r="M57" s="4"/>
      <c r="N57" s="1280" t="str">
        <f>VLOOKUP(VLOOKUP(M58,Matches!$B$94:$K$101,10,0),Language!$D$158:$E$165,2,0)</f>
        <v>Achtste finale 3</v>
      </c>
      <c r="O57" s="1281"/>
      <c r="P57" s="4"/>
      <c r="Q57" s="1280" t="str">
        <f>VLOOKUP(VLOOKUP(P58,Matches!$B$94:$K$101,10,0),Language!$D$158:$E$165,2,0)</f>
        <v>Achtste finale 4</v>
      </c>
      <c r="R57" s="1281"/>
      <c r="S57" s="4"/>
      <c r="T57" s="1280" t="str">
        <f>VLOOKUP(VLOOKUP(S58,Matches!$B$94:$K$101,10,0),Language!$D$158:$E$165,2,0)</f>
        <v>Achtste finale 7</v>
      </c>
      <c r="U57" s="1281"/>
      <c r="V57" s="4"/>
      <c r="W57" s="1280" t="str">
        <f>VLOOKUP(VLOOKUP(V58,Matches!$B$94:$K$101,10,0),Language!$D$158:$E$165,2,0)</f>
        <v>Achtste finale 8</v>
      </c>
      <c r="X57" s="1281"/>
      <c r="Y57" s="4"/>
    </row>
    <row r="58" spans="1:49">
      <c r="A58" s="90">
        <f>RIGHT($C$74,2)*1</f>
        <v>89</v>
      </c>
      <c r="B58" s="1274" t="str">
        <f>VLOOKUP(A58,Matches!$B$4:$K$113,7,0)</f>
        <v>Philadelphia</v>
      </c>
      <c r="C58" s="1275"/>
      <c r="D58" s="90">
        <f>RIGHT($E$74,2)*1</f>
        <v>90</v>
      </c>
      <c r="E58" s="1274" t="str">
        <f>VLOOKUP(D58,Matches!$B$4:$K$113,7,0)</f>
        <v>Houston</v>
      </c>
      <c r="F58" s="1275"/>
      <c r="G58" s="90">
        <f>RIGHT($I$74,2)*1</f>
        <v>93</v>
      </c>
      <c r="H58" s="1274" t="str">
        <f>VLOOKUP(G58,Matches!$B$4:$K$113,7,0)</f>
        <v>Dallas</v>
      </c>
      <c r="I58" s="1275"/>
      <c r="J58" s="90">
        <f>RIGHT($K$74,2)*1</f>
        <v>94</v>
      </c>
      <c r="K58" s="1274" t="str">
        <f>VLOOKUP(J58,Matches!$B$4:$K$113,7,0)</f>
        <v>Seattle</v>
      </c>
      <c r="L58" s="1275"/>
      <c r="M58" s="90">
        <f>RIGHT($O$74,2)*1</f>
        <v>91</v>
      </c>
      <c r="N58" s="1274" t="str">
        <f>VLOOKUP(M58,Matches!$B$4:$K$113,7,0)</f>
        <v>New York/New Jersey</v>
      </c>
      <c r="O58" s="1275"/>
      <c r="P58" s="90">
        <f>RIGHT($Q$74,2)*1</f>
        <v>92</v>
      </c>
      <c r="Q58" s="1274" t="str">
        <f>VLOOKUP(P58,Matches!$B$4:$K$113,7,0)</f>
        <v>Mexico City</v>
      </c>
      <c r="R58" s="1275"/>
      <c r="S58" s="90">
        <f>RIGHT($U$74,2)*1</f>
        <v>95</v>
      </c>
      <c r="T58" s="1274" t="str">
        <f>VLOOKUP(S58,Matches!$B$4:$K$113,7,0)</f>
        <v>Atlanta</v>
      </c>
      <c r="U58" s="1275"/>
      <c r="V58" s="90">
        <f>RIGHT($W$74,2)*1</f>
        <v>96</v>
      </c>
      <c r="W58" s="1274" t="str">
        <f>VLOOKUP(V58,Matches!$B$4:$K$113,7,0)</f>
        <v>Vancouver</v>
      </c>
      <c r="X58" s="1275"/>
      <c r="Y58" s="4"/>
    </row>
    <row r="59" spans="1:49">
      <c r="A59" s="4"/>
      <c r="B59" s="1265">
        <f>VLOOKUP(A58,Matches!$B$4:$K$113,5,0)</f>
        <v>46207.958333333336</v>
      </c>
      <c r="C59" s="1266"/>
      <c r="D59" s="4"/>
      <c r="E59" s="1265">
        <f>VLOOKUP(D58,Matches!$B$4:$K$113,5,0)</f>
        <v>46207.791666666664</v>
      </c>
      <c r="F59" s="1266"/>
      <c r="G59" s="4"/>
      <c r="H59" s="1265">
        <f>VLOOKUP(G58,Matches!$B$4:$K$113,5,0)</f>
        <v>46209.875</v>
      </c>
      <c r="I59" s="1266"/>
      <c r="J59" s="4"/>
      <c r="K59" s="1265">
        <f>VLOOKUP(J58,Matches!$B$4:$K$113,5,0)</f>
        <v>46210.083333333336</v>
      </c>
      <c r="L59" s="1266"/>
      <c r="M59" s="4"/>
      <c r="N59" s="1265">
        <f>VLOOKUP(M58,Matches!$B$4:$K$113,5,0)</f>
        <v>46208.916666666664</v>
      </c>
      <c r="O59" s="1266"/>
      <c r="P59" s="4"/>
      <c r="Q59" s="1265">
        <f>VLOOKUP(P58,Matches!$B$4:$K$113,5,0)</f>
        <v>46209.083333333336</v>
      </c>
      <c r="R59" s="1266"/>
      <c r="S59" s="4"/>
      <c r="T59" s="1265">
        <f>VLOOKUP(S58,Matches!$B$4:$K$113,5,0)</f>
        <v>46210.75</v>
      </c>
      <c r="U59" s="1266"/>
      <c r="V59" s="7"/>
      <c r="W59" s="1265">
        <f>VLOOKUP(V58,Matches!$B$4:$K$113,5,0)</f>
        <v>46210.916666666664</v>
      </c>
      <c r="X59" s="1266"/>
      <c r="Y59" s="4"/>
    </row>
    <row r="60" spans="1:49">
      <c r="A60" s="4"/>
      <c r="B60" s="45" t="str">
        <f>IF(AND(B51&lt;&gt;"",C51&lt;&gt;""),IF(B51&gt;C51,B50,IF(B51&lt;C51,C50,IF(AND(B53&lt;&gt;"",C53&lt;&gt;""),IF(B53&gt;C53,B50,IF(B53&lt;C53,C50,"")),""))),"")</f>
        <v/>
      </c>
      <c r="C60" s="46" t="str">
        <f>IF(AND(E51&lt;&gt;"",F51&lt;&gt;""),IF(E51&gt;F51,E50,IF(E51&lt;F51,F50,IF(AND(E53&lt;&gt;"",F53&lt;&gt;""),IF(E53&gt;F53,E50,IF(E53&lt;F53,F50,"")),""))),"")</f>
        <v>Zweden</v>
      </c>
      <c r="D60" s="4"/>
      <c r="E60" s="45" t="str">
        <f>IF(AND(H51&lt;&gt;"",I51&lt;&gt;""),IF(H51&gt;I51,H50,IF(H51&lt;I51,I50,IF(AND(H53&lt;&gt;"",I53&lt;&gt;""),IF(H53&gt;I53,H50,IF(H53&lt;I53,I50,"")),""))),"")</f>
        <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c r="A61" s="4"/>
      <c r="B61" s="1">
        <f>'NKC - WKpool 2026'!F93</f>
        <v>0</v>
      </c>
      <c r="C61" s="2">
        <f>'NKC - WKpool 2026'!H93</f>
        <v>0</v>
      </c>
      <c r="D61" s="222"/>
      <c r="E61" s="1">
        <f>'NKC - WKpool 2026'!F94</f>
        <v>0</v>
      </c>
      <c r="F61" s="2">
        <f>'NKC - WKpool 2026'!H94</f>
        <v>0</v>
      </c>
      <c r="G61" s="222"/>
      <c r="H61" s="1">
        <f>'NKC - WKpool 2026'!F97</f>
        <v>0</v>
      </c>
      <c r="I61" s="2">
        <f>'NKC - WKpool 2026'!H97</f>
        <v>0</v>
      </c>
      <c r="J61" s="222"/>
      <c r="K61" s="1">
        <f>'NKC - WKpool 2026'!F98</f>
        <v>0</v>
      </c>
      <c r="L61" s="2">
        <f>'NKC - WKpool 2026'!H98</f>
        <v>0</v>
      </c>
      <c r="M61" s="222"/>
      <c r="N61" s="1">
        <f>'NKC - WKpool 2026'!F95</f>
        <v>0</v>
      </c>
      <c r="O61" s="2">
        <f>'NKC - WKpool 2026'!H95</f>
        <v>0</v>
      </c>
      <c r="P61" s="222"/>
      <c r="Q61" s="1">
        <f>'NKC - WKpool 2026'!F96</f>
        <v>0</v>
      </c>
      <c r="R61" s="2">
        <f>'NKC - WKpool 2026'!H96</f>
        <v>0</v>
      </c>
      <c r="S61" s="222"/>
      <c r="T61" s="1">
        <f>'NKC - WKpool 2026'!F99</f>
        <v>0</v>
      </c>
      <c r="U61" s="2">
        <f>'NKC - WKpool 2026'!H99</f>
        <v>0</v>
      </c>
      <c r="V61" s="222"/>
      <c r="W61" s="1">
        <f>'NKC - WKpool 2026'!F100</f>
        <v>0</v>
      </c>
      <c r="X61" s="2">
        <f>'NKC - WKpool 2026'!H100</f>
        <v>0</v>
      </c>
      <c r="Y61" s="223"/>
    </row>
    <row r="62" spans="1:49" ht="9.9499999999999993" customHeight="1">
      <c r="A62" s="4"/>
      <c r="B62" s="1267" t="str">
        <f>Language!$E$175</f>
        <v>Penalties:</v>
      </c>
      <c r="C62" s="1268"/>
      <c r="D62" s="4"/>
      <c r="E62" s="1267" t="str">
        <f>Language!$E$175</f>
        <v>Penalties:</v>
      </c>
      <c r="F62" s="1268"/>
      <c r="G62" s="4"/>
      <c r="H62" s="1267" t="str">
        <f>Language!$E$175</f>
        <v>Penalties:</v>
      </c>
      <c r="I62" s="1268"/>
      <c r="J62" s="4"/>
      <c r="K62" s="1267" t="str">
        <f>Language!$E$175</f>
        <v>Penalties:</v>
      </c>
      <c r="L62" s="1268"/>
      <c r="M62" s="4"/>
      <c r="N62" s="1267" t="str">
        <f>Language!$E$175</f>
        <v>Penalties:</v>
      </c>
      <c r="O62" s="1268"/>
      <c r="P62" s="4"/>
      <c r="Q62" s="1267" t="str">
        <f>Language!$E$175</f>
        <v>Penalties:</v>
      </c>
      <c r="R62" s="1268"/>
      <c r="S62" s="4"/>
      <c r="T62" s="1267" t="str">
        <f>Language!$E$175</f>
        <v>Penalties:</v>
      </c>
      <c r="U62" s="1268"/>
      <c r="V62" s="4"/>
      <c r="W62" s="1267" t="str">
        <f>Language!$E$175</f>
        <v>Penalties:</v>
      </c>
      <c r="X62" s="1268"/>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1264" t="str">
        <f>IF(AND(B61&lt;&gt;"",C61&lt;&gt;"",B61=C61,B63&lt;&gt;"",C63&lt;&gt;"",B63=C63),Language!$E$192,"")</f>
        <v/>
      </c>
      <c r="C65" s="1264"/>
      <c r="D65" s="11"/>
      <c r="E65" s="1264" t="str">
        <f>IF(AND(E61&lt;&gt;"",F61&lt;&gt;"",E61=F61,E63&lt;&gt;"",F63&lt;&gt;"",E63=F63),Language!$E$192,"")</f>
        <v/>
      </c>
      <c r="F65" s="1264"/>
      <c r="G65" s="11"/>
      <c r="H65" s="1264" t="str">
        <f>IF(AND(H61&lt;&gt;"",I61&lt;&gt;"",H61=I61,H63&lt;&gt;"",I63&lt;&gt;"",H63=I63),Language!$E$192,"")</f>
        <v/>
      </c>
      <c r="I65" s="1264"/>
      <c r="J65" s="11"/>
      <c r="K65" s="1264" t="str">
        <f>IF(AND(K61&lt;&gt;"",L61&lt;&gt;"",K61=L61,K63&lt;&gt;"",L63&lt;&gt;"",K63=L63),Language!$E$192,"")</f>
        <v/>
      </c>
      <c r="L65" s="1264"/>
      <c r="M65" s="11"/>
      <c r="N65" s="1264" t="str">
        <f>IF(AND(N61&lt;&gt;"",O61&lt;&gt;"",N61=O61,N63&lt;&gt;"",O63&lt;&gt;"",N63=O63),Language!$E$192,"")</f>
        <v/>
      </c>
      <c r="O65" s="1264"/>
      <c r="P65" s="11"/>
      <c r="Q65" s="1264" t="str">
        <f>IF(AND(Q61&lt;&gt;"",R61&lt;&gt;"",Q61=R61,Q63&lt;&gt;"",R63&lt;&gt;"",Q63=R63),Language!$E$192,"")</f>
        <v/>
      </c>
      <c r="R65" s="1264"/>
      <c r="S65" s="11"/>
      <c r="T65" s="1264" t="str">
        <f>IF(AND(T61&lt;&gt;"",U61&lt;&gt;"",T61=U61,T63&lt;&gt;"",U63&lt;&gt;"",T63=U63),Language!$E$192,"")</f>
        <v/>
      </c>
      <c r="U65" s="1264"/>
      <c r="V65" s="11"/>
      <c r="W65" s="1264" t="str">
        <f>IF(AND(W61&lt;&gt;"",X61&lt;&gt;"",W61=X61,W63&lt;&gt;"",X63&lt;&gt;"",W63=X63),Language!$E$192,"")</f>
        <v/>
      </c>
      <c r="X65" s="1264"/>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284" t="str">
        <f>VLOOKUP(VLOOKUP(B68,Matches!$B$103:$K$106,10,0),Language!$D$166:$E$169,2,0)</f>
        <v>Kwart finale 1</v>
      </c>
      <c r="D67" s="1284"/>
      <c r="E67" s="1284"/>
      <c r="F67" s="13"/>
      <c r="G67" s="4"/>
      <c r="H67" s="13"/>
      <c r="I67" s="1284" t="str">
        <f>VLOOKUP(VLOOKUP(H68,Matches!$B$103:$K$106,10,0),Language!$D$166:$E$169,2,0)</f>
        <v>Kwart finale 2</v>
      </c>
      <c r="J67" s="1284"/>
      <c r="K67" s="1284"/>
      <c r="L67" s="13"/>
      <c r="M67" s="4"/>
      <c r="N67" s="13"/>
      <c r="O67" s="1284" t="str">
        <f>VLOOKUP(VLOOKUP(N68,Matches!$B$103:$K$106,10,0),Language!$D$166:$E$169,2,0)</f>
        <v>Kwart finale 3</v>
      </c>
      <c r="P67" s="1284"/>
      <c r="Q67" s="1284"/>
      <c r="R67" s="13"/>
      <c r="S67" s="4"/>
      <c r="T67" s="13"/>
      <c r="U67" s="1284" t="str">
        <f>VLOOKUP(VLOOKUP(T68,Matches!$B$103:$K$106,10,0),Language!$D$166:$E$169,2,0)</f>
        <v>Kwart finale 4</v>
      </c>
      <c r="V67" s="1284"/>
      <c r="W67" s="1284"/>
      <c r="X67" s="13"/>
      <c r="Y67" s="4"/>
    </row>
    <row r="68" spans="1:25">
      <c r="A68" s="4"/>
      <c r="B68" s="90">
        <f>RIGHT($F$84,LEN($F$84)-1)*1</f>
        <v>97</v>
      </c>
      <c r="C68" s="1285" t="str">
        <f>VLOOKUP(B68,Matches!$B$4:$K$113,7,0)</f>
        <v>Boston</v>
      </c>
      <c r="D68" s="1286"/>
      <c r="E68" s="1287"/>
      <c r="F68" s="4"/>
      <c r="G68" s="4"/>
      <c r="H68" s="90">
        <f>RIGHT($H$84,LEN($H$84)-1)*1</f>
        <v>98</v>
      </c>
      <c r="I68" s="1285" t="str">
        <f>VLOOKUP(H68,Matches!$B$4:$K$113,7,0)</f>
        <v>Los Angeles</v>
      </c>
      <c r="J68" s="1286"/>
      <c r="K68" s="1287"/>
      <c r="L68" s="4"/>
      <c r="M68" s="4"/>
      <c r="N68" s="90">
        <f>RIGHT($R$84,LEN($R$84)-1)*1</f>
        <v>99</v>
      </c>
      <c r="O68" s="1285" t="str">
        <f>VLOOKUP(N68,Matches!$B$4:$K$113,7,0)</f>
        <v>Miami</v>
      </c>
      <c r="P68" s="1286"/>
      <c r="Q68" s="1287"/>
      <c r="R68" s="4"/>
      <c r="S68" s="4"/>
      <c r="T68" s="90">
        <f>RIGHT($T$84,LEN($T$84)-1)*1</f>
        <v>100</v>
      </c>
      <c r="U68" s="1285" t="str">
        <f>VLOOKUP(T68,Matches!$B$4:$K$113,7,0)</f>
        <v>Kansas City</v>
      </c>
      <c r="V68" s="1286"/>
      <c r="W68" s="1287"/>
      <c r="X68" s="4"/>
      <c r="Y68" s="4"/>
    </row>
    <row r="69" spans="1:25">
      <c r="A69" s="4"/>
      <c r="B69" s="4"/>
      <c r="C69" s="1265">
        <f>VLOOKUP(B68,Matches!$B$4:$K$113,5,0)</f>
        <v>46212.916666666664</v>
      </c>
      <c r="D69" s="1293"/>
      <c r="E69" s="1266"/>
      <c r="F69" s="4"/>
      <c r="G69" s="4"/>
      <c r="H69" s="4"/>
      <c r="I69" s="1265">
        <f>VLOOKUP(H68,Matches!$B$4:$K$113,5,0)</f>
        <v>46213.875</v>
      </c>
      <c r="J69" s="1293"/>
      <c r="K69" s="1266"/>
      <c r="L69" s="4"/>
      <c r="M69" s="4"/>
      <c r="N69" s="4"/>
      <c r="O69" s="1265">
        <f>VLOOKUP(N68,Matches!$B$4:$K$113,5,0)</f>
        <v>46214.958333333336</v>
      </c>
      <c r="P69" s="1293"/>
      <c r="Q69" s="1266"/>
      <c r="R69" s="4"/>
      <c r="S69" s="4"/>
      <c r="T69" s="4"/>
      <c r="U69" s="1265">
        <f>VLOOKUP(T68,Matches!$B$4:$K$113,5,0)</f>
        <v>46215.125</v>
      </c>
      <c r="V69" s="1293"/>
      <c r="W69" s="1266"/>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f>'NKC - WKpool 2026'!F102</f>
        <v>0</v>
      </c>
      <c r="D71" s="14"/>
      <c r="E71" s="3">
        <f>'NKC - WKpool 2026'!H102</f>
        <v>0</v>
      </c>
      <c r="F71" s="223"/>
      <c r="G71" s="4"/>
      <c r="H71" s="4"/>
      <c r="I71" s="1">
        <f>'NKC - WKpool 2026'!F103</f>
        <v>0</v>
      </c>
      <c r="J71" s="14"/>
      <c r="K71" s="3">
        <f>'NKC - WKpool 2026'!H103</f>
        <v>0</v>
      </c>
      <c r="L71" s="223"/>
      <c r="M71" s="4"/>
      <c r="N71" s="4"/>
      <c r="O71" s="1">
        <f>'NKC - WKpool 2026'!F104</f>
        <v>0</v>
      </c>
      <c r="P71" s="14"/>
      <c r="Q71" s="3">
        <f>'NKC - WKpool 2026'!H104</f>
        <v>0</v>
      </c>
      <c r="R71" s="223"/>
      <c r="S71" s="4"/>
      <c r="T71" s="4"/>
      <c r="U71" s="1">
        <f>'NKC - WKpool 2026'!F105</f>
        <v>0</v>
      </c>
      <c r="V71" s="14"/>
      <c r="W71" s="3">
        <f>'NKC - WKpool 2026'!H105</f>
        <v>0</v>
      </c>
      <c r="X71" s="223"/>
      <c r="Y71" s="4"/>
    </row>
    <row r="72" spans="1:25" ht="9.9499999999999993" customHeight="1">
      <c r="A72" s="4"/>
      <c r="B72" s="4"/>
      <c r="C72" s="1288" t="str">
        <f>Language!$E$175</f>
        <v>Penalties:</v>
      </c>
      <c r="D72" s="1289"/>
      <c r="E72" s="1290"/>
      <c r="F72" s="4"/>
      <c r="G72" s="4"/>
      <c r="H72" s="4"/>
      <c r="I72" s="1288" t="str">
        <f>Language!$E$175</f>
        <v>Penalties:</v>
      </c>
      <c r="J72" s="1289"/>
      <c r="K72" s="1290"/>
      <c r="L72" s="4"/>
      <c r="M72" s="4"/>
      <c r="N72" s="4"/>
      <c r="O72" s="1288" t="str">
        <f>Language!$E$175</f>
        <v>Penalties:</v>
      </c>
      <c r="P72" s="1289"/>
      <c r="Q72" s="1290"/>
      <c r="R72" s="4"/>
      <c r="S72" s="4"/>
      <c r="T72" s="4"/>
      <c r="U72" s="1288" t="str">
        <f>Language!$E$175</f>
        <v>Penalties:</v>
      </c>
      <c r="V72" s="1289"/>
      <c r="W72" s="1290"/>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1291" t="str">
        <f>IF(AND(C71&lt;&gt;"",E71&lt;&gt;"",C71=E71,C73&lt;&gt;"",E73&lt;&gt;"",C73=E73),Language!$E$192,"")</f>
        <v/>
      </c>
      <c r="D75" s="1291"/>
      <c r="E75" s="1291"/>
      <c r="F75" s="4"/>
      <c r="G75" s="4"/>
      <c r="H75" s="4"/>
      <c r="I75" s="1291" t="str">
        <f>IF(AND(I71&lt;&gt;"",K71&lt;&gt;"",I71=K71,I73&lt;&gt;"",K73&lt;&gt;"",I73=K73),Language!$E$192,"")</f>
        <v/>
      </c>
      <c r="J75" s="1291"/>
      <c r="K75" s="1291"/>
      <c r="L75" s="4"/>
      <c r="M75" s="4"/>
      <c r="N75" s="4"/>
      <c r="O75" s="1291" t="str">
        <f>IF(AND(O71&lt;&gt;"",Q71&lt;&gt;"",O71=Q71,O73&lt;&gt;"",Q73&lt;&gt;"",O73=Q73),Language!$E$192,"")</f>
        <v/>
      </c>
      <c r="P75" s="1291"/>
      <c r="Q75" s="1291"/>
      <c r="R75" s="4"/>
      <c r="S75" s="4"/>
      <c r="T75" s="4"/>
      <c r="U75" s="1291" t="str">
        <f>IF(AND(U71&lt;&gt;"",W71&lt;&gt;"",U71=W71,U73&lt;&gt;"",W73&lt;&gt;"",U73=W73),Language!$E$192,"")</f>
        <v/>
      </c>
      <c r="V75" s="1291"/>
      <c r="W75" s="1291"/>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292" t="str">
        <f>VLOOKUP(E78,Matches!$B$103:$K$113,10,0)</f>
        <v>Halve finale 1</v>
      </c>
      <c r="G77" s="1292"/>
      <c r="H77" s="1292"/>
      <c r="I77" s="4"/>
      <c r="J77" s="4"/>
      <c r="K77" s="4"/>
      <c r="L77" s="4"/>
      <c r="M77" s="4"/>
      <c r="N77" s="4"/>
      <c r="O77" s="4"/>
      <c r="P77" s="4"/>
      <c r="Q77" s="4"/>
      <c r="R77" s="1292" t="str">
        <f>VLOOKUP(Q78,Matches!$B$103:$K$113,10,0)</f>
        <v>Halve finale 2</v>
      </c>
      <c r="S77" s="1292"/>
      <c r="T77" s="1292"/>
      <c r="U77" s="4"/>
      <c r="V77" s="4"/>
      <c r="W77" s="4"/>
      <c r="X77" s="4"/>
      <c r="Y77" s="4"/>
    </row>
    <row r="78" spans="1:25">
      <c r="A78" s="4"/>
      <c r="B78" s="4"/>
      <c r="C78" s="4"/>
      <c r="D78" s="4"/>
      <c r="E78" s="90">
        <v>101</v>
      </c>
      <c r="F78" s="1285" t="str">
        <f>VLOOKUP(E78,Matches!$B$4:$K$113,7,0)</f>
        <v>Dallas</v>
      </c>
      <c r="G78" s="1286"/>
      <c r="H78" s="1287"/>
      <c r="I78" s="4"/>
      <c r="J78" s="4"/>
      <c r="K78" s="4"/>
      <c r="L78" s="4"/>
      <c r="M78" s="4"/>
      <c r="N78" s="4"/>
      <c r="O78" s="4"/>
      <c r="P78" s="4"/>
      <c r="Q78" s="90">
        <v>102</v>
      </c>
      <c r="R78" s="1285" t="str">
        <f>VLOOKUP(Q78,Matches!$B$4:$K$113,7,0)</f>
        <v>Atlanta</v>
      </c>
      <c r="S78" s="1286"/>
      <c r="T78" s="1287"/>
      <c r="U78" s="4"/>
      <c r="V78" s="4"/>
      <c r="W78" s="4"/>
      <c r="X78" s="4"/>
      <c r="Y78" s="4"/>
    </row>
    <row r="79" spans="1:25" ht="15.75">
      <c r="A79" s="4"/>
      <c r="B79" s="4"/>
      <c r="C79" s="4"/>
      <c r="D79" s="4"/>
      <c r="E79" s="4"/>
      <c r="F79" s="1265">
        <f>VLOOKUP(E78,Matches!$B$4:$K$113,5,0)</f>
        <v>46217.875</v>
      </c>
      <c r="G79" s="1293"/>
      <c r="H79" s="1266"/>
      <c r="I79" s="4"/>
      <c r="J79" s="4"/>
      <c r="K79" s="4"/>
      <c r="L79" s="29"/>
      <c r="M79" s="29"/>
      <c r="N79" s="4"/>
      <c r="O79" s="4"/>
      <c r="P79" s="4"/>
      <c r="Q79" s="4"/>
      <c r="R79" s="1265">
        <f>VLOOKUP(Q78,Matches!$B$4:$K$113,5,0)</f>
        <v>46218.875</v>
      </c>
      <c r="S79" s="1293"/>
      <c r="T79" s="1266"/>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f>'NKC - WKpool 2026'!F107</f>
        <v>0</v>
      </c>
      <c r="G81" s="14"/>
      <c r="H81" s="3">
        <f>'NKC - WKpool 2026'!H107</f>
        <v>0</v>
      </c>
      <c r="I81" s="223"/>
      <c r="J81" s="4"/>
      <c r="K81" s="4"/>
      <c r="L81" s="19"/>
      <c r="M81" s="18"/>
      <c r="N81" s="4"/>
      <c r="O81" s="4"/>
      <c r="P81" s="4"/>
      <c r="Q81" s="4"/>
      <c r="R81" s="1">
        <f>'NKC - WKpool 2026'!F108</f>
        <v>0</v>
      </c>
      <c r="S81" s="14"/>
      <c r="T81" s="3">
        <f>'NKC - WKpool 2026'!H108</f>
        <v>0</v>
      </c>
      <c r="U81" s="223"/>
      <c r="V81" s="4"/>
      <c r="W81" s="4"/>
      <c r="X81" s="4"/>
      <c r="Y81" s="4"/>
    </row>
    <row r="82" spans="1:25" ht="9.9499999999999993" customHeight="1">
      <c r="A82" s="4"/>
      <c r="B82" s="4"/>
      <c r="C82" s="4"/>
      <c r="D82" s="4"/>
      <c r="E82" s="4"/>
      <c r="F82" s="1288" t="str">
        <f>Language!$E$175</f>
        <v>Penalties:</v>
      </c>
      <c r="G82" s="1289"/>
      <c r="H82" s="1290"/>
      <c r="I82" s="4"/>
      <c r="J82" s="4"/>
      <c r="K82" s="4"/>
      <c r="L82" s="19"/>
      <c r="M82" s="18"/>
      <c r="N82" s="4"/>
      <c r="O82" s="4"/>
      <c r="P82" s="4"/>
      <c r="Q82" s="4"/>
      <c r="R82" s="1288" t="str">
        <f>Language!$E$175</f>
        <v>Penalties:</v>
      </c>
      <c r="S82" s="1289"/>
      <c r="T82" s="1290"/>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1291" t="str">
        <f>IF(AND(F81&lt;&gt;"",H81&lt;&gt;"",F81=H81,F83&lt;&gt;"",H83&lt;&gt;"",F83=H83),Language!$E$192,"")</f>
        <v/>
      </c>
      <c r="G85" s="1291"/>
      <c r="H85" s="1291"/>
      <c r="I85" s="4"/>
      <c r="J85" s="4"/>
      <c r="K85" s="4"/>
      <c r="L85" s="1304" t="str">
        <f>VLOOKUP(K86,Matches!$B$103:$K$113,10,0)</f>
        <v>Derde plaats</v>
      </c>
      <c r="M85" s="1304"/>
      <c r="N85" s="1304"/>
      <c r="O85" s="4"/>
      <c r="P85" s="4"/>
      <c r="Q85" s="4"/>
      <c r="R85" s="1291" t="str">
        <f>IF(AND(R81&lt;&gt;"",T81&lt;&gt;"",R81=T81,R83&lt;&gt;"",T83&lt;&gt;"",R83=T83),Language!$E$192,"")</f>
        <v/>
      </c>
      <c r="S85" s="1291"/>
      <c r="T85" s="1291"/>
      <c r="U85" s="4"/>
      <c r="V85" s="4"/>
      <c r="W85" s="4"/>
      <c r="X85" s="4"/>
      <c r="Y85" s="4"/>
    </row>
    <row r="86" spans="1:25">
      <c r="A86" s="4"/>
      <c r="B86" s="4"/>
      <c r="C86" s="4"/>
      <c r="D86" s="4"/>
      <c r="E86" s="4"/>
      <c r="F86" s="4"/>
      <c r="G86" s="4"/>
      <c r="H86" s="4"/>
      <c r="I86" s="4"/>
      <c r="J86" s="4"/>
      <c r="K86" s="90">
        <v>103</v>
      </c>
      <c r="L86" s="1285" t="str">
        <f>VLOOKUP(K86,Matches!$B$4:$K$113,7,0)</f>
        <v>Miami</v>
      </c>
      <c r="M86" s="1286"/>
      <c r="N86" s="1287"/>
      <c r="O86" s="4"/>
      <c r="P86" s="4"/>
      <c r="Q86" s="4"/>
      <c r="R86" s="4"/>
      <c r="S86" s="4"/>
      <c r="T86" s="4"/>
      <c r="U86" s="4"/>
      <c r="V86" s="4"/>
      <c r="W86" s="4"/>
      <c r="X86" s="4"/>
      <c r="Y86" s="4"/>
    </row>
    <row r="87" spans="1:25">
      <c r="A87" s="4"/>
      <c r="B87" s="4"/>
      <c r="C87" s="4"/>
      <c r="D87" s="4"/>
      <c r="E87" s="4"/>
      <c r="F87" s="4"/>
      <c r="G87" s="4"/>
      <c r="H87" s="4"/>
      <c r="I87" s="4"/>
      <c r="J87" s="4"/>
      <c r="K87" s="4"/>
      <c r="L87" s="1265">
        <f>VLOOKUP(K86,Matches!$B$4:$K$113,5,0)</f>
        <v>46221.958333333336</v>
      </c>
      <c r="M87" s="1293"/>
      <c r="N87" s="1266"/>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f>'NKC - WKpool 2026'!F110</f>
        <v>0</v>
      </c>
      <c r="M89" s="14"/>
      <c r="N89" s="3">
        <f>'NKC - WKpool 2026'!H110</f>
        <v>0</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288" t="str">
        <f>Language!$E$175</f>
        <v>Penalties:</v>
      </c>
      <c r="M90" s="1289"/>
      <c r="N90" s="1290"/>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1291" t="str">
        <f>IF(AND(L89&lt;&gt;"",N89&lt;&gt;"",L89=N89,L91&lt;&gt;"",N91&lt;&gt;"",L91=N91),Language!$E$192,"")</f>
        <v/>
      </c>
      <c r="M93" s="1291"/>
      <c r="N93" s="1291"/>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299" t="str">
        <f>VLOOKUP(K96,Matches!$B$103:$K$113,10,0)</f>
        <v>Finale</v>
      </c>
      <c r="M95" s="1300"/>
      <c r="N95" s="1301"/>
      <c r="O95" s="4"/>
      <c r="P95" s="4"/>
      <c r="Q95" s="4"/>
      <c r="R95" s="4"/>
      <c r="S95" s="4"/>
      <c r="T95" s="4"/>
      <c r="U95" s="4"/>
      <c r="V95" s="4"/>
      <c r="W95" s="4"/>
      <c r="X95" s="4"/>
      <c r="Y95" s="4"/>
    </row>
    <row r="96" spans="1:25">
      <c r="A96" s="4"/>
      <c r="B96" s="4"/>
      <c r="C96" s="4"/>
      <c r="D96" s="4"/>
      <c r="E96" s="4"/>
      <c r="F96" s="4"/>
      <c r="G96" s="4"/>
      <c r="H96" s="4"/>
      <c r="I96" s="4"/>
      <c r="J96" s="4"/>
      <c r="K96" s="90">
        <v>104</v>
      </c>
      <c r="L96" s="1285" t="str">
        <f>VLOOKUP(K96,Matches!$B$4:$K$113,7,0)</f>
        <v>New York/New Jersey</v>
      </c>
      <c r="M96" s="1286"/>
      <c r="N96" s="1287"/>
      <c r="O96" s="4"/>
      <c r="P96" s="4"/>
      <c r="Q96" s="4"/>
      <c r="R96" s="1302" t="str">
        <f>Language!$E$141</f>
        <v>Wereldkampioen 2026:</v>
      </c>
      <c r="S96" s="1302"/>
      <c r="T96" s="1302"/>
      <c r="U96" s="1302"/>
      <c r="V96" s="1302"/>
      <c r="W96" s="1302"/>
      <c r="X96" s="4"/>
      <c r="Y96" s="4"/>
    </row>
    <row r="97" spans="1:25">
      <c r="A97" s="4"/>
      <c r="B97" s="4"/>
      <c r="C97" s="4"/>
      <c r="D97" s="4"/>
      <c r="E97" s="4"/>
      <c r="F97" s="4"/>
      <c r="G97" s="4"/>
      <c r="H97" s="4"/>
      <c r="I97" s="4"/>
      <c r="J97" s="4"/>
      <c r="K97" s="4"/>
      <c r="L97" s="1265">
        <f>VLOOKUP(K96,Matches!$B$4:$K$113,5,0)</f>
        <v>46222.875</v>
      </c>
      <c r="M97" s="1293"/>
      <c r="N97" s="1266"/>
      <c r="O97" s="4"/>
      <c r="P97" s="4"/>
      <c r="Q97" s="4"/>
      <c r="R97" s="1302"/>
      <c r="S97" s="1302"/>
      <c r="T97" s="1302"/>
      <c r="U97" s="1302"/>
      <c r="V97" s="1302"/>
      <c r="W97" s="1302"/>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303" t="str">
        <f>IF(AND(L99&lt;&gt;"",N99&lt;&gt;""),IF(L99&gt;N99,L98,IF(L99&lt;N99,N98,IF(AND(L101&lt;&gt;"",N101&lt;&gt;""),IF(L101&gt;N101,L98,IF(L101&lt;N101,N98,"")),""))),"")</f>
        <v/>
      </c>
      <c r="S98" s="1303"/>
      <c r="T98" s="1303"/>
      <c r="U98" s="1303"/>
      <c r="V98" s="1303"/>
      <c r="W98" s="1303"/>
      <c r="X98" s="4"/>
      <c r="Y98" s="4"/>
    </row>
    <row r="99" spans="1:25" ht="15.75" thickBot="1">
      <c r="A99" s="4"/>
      <c r="B99" s="17"/>
      <c r="C99" s="4"/>
      <c r="D99" s="4"/>
      <c r="E99" s="4"/>
      <c r="F99" s="4"/>
      <c r="G99" s="4"/>
      <c r="H99" s="4"/>
      <c r="I99" s="4"/>
      <c r="J99" s="4"/>
      <c r="K99" s="4"/>
      <c r="L99" s="1">
        <f>'NKC - WKpool 2026'!F112</f>
        <v>0</v>
      </c>
      <c r="M99" s="91"/>
      <c r="N99" s="3">
        <f>'NKC - WKpool 2026'!H112</f>
        <v>0</v>
      </c>
      <c r="O99" s="223"/>
      <c r="P99" s="4"/>
      <c r="Q99" s="4"/>
      <c r="R99" s="1303"/>
      <c r="S99" s="1303"/>
      <c r="T99" s="1303"/>
      <c r="U99" s="1303"/>
      <c r="V99" s="1303"/>
      <c r="W99" s="1303"/>
      <c r="X99" s="4"/>
      <c r="Y99" s="4"/>
    </row>
    <row r="100" spans="1:25" ht="9.9499999999999993" customHeight="1">
      <c r="A100" s="4"/>
      <c r="B100" s="17"/>
      <c r="C100" s="4"/>
      <c r="D100" s="4"/>
      <c r="E100" s="4"/>
      <c r="F100" s="4"/>
      <c r="G100" s="4"/>
      <c r="H100" s="4"/>
      <c r="I100" s="4"/>
      <c r="J100" s="4"/>
      <c r="K100" s="4"/>
      <c r="L100" s="1288" t="str">
        <f>Language!$E$175</f>
        <v>Penalties:</v>
      </c>
      <c r="M100" s="1289"/>
      <c r="N100" s="1290"/>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291" t="str">
        <f>IF(AND(L99&lt;&gt;"",N99&lt;&gt;"",L99=N99,L101&lt;&gt;"",N101&lt;&gt;"",L101=N101),Language!$E$192,"")</f>
        <v/>
      </c>
      <c r="M103" s="1291"/>
      <c r="N103" s="1291"/>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294"/>
      <c r="V105" s="1295"/>
      <c r="W105" s="1295"/>
      <c r="X105" s="1295"/>
      <c r="Y105" s="4"/>
    </row>
    <row r="106" spans="1:25">
      <c r="A106" s="4"/>
      <c r="B106" s="1296" t="s">
        <v>1711</v>
      </c>
      <c r="C106" s="1297"/>
      <c r="D106" s="1297"/>
      <c r="E106" s="4"/>
      <c r="F106" s="4"/>
      <c r="G106" s="4"/>
      <c r="H106" s="4"/>
      <c r="I106" s="4"/>
      <c r="J106" s="4"/>
      <c r="K106" s="4"/>
      <c r="L106" s="4"/>
      <c r="M106" s="4"/>
      <c r="N106" s="4"/>
      <c r="O106" s="4"/>
      <c r="P106" s="4"/>
      <c r="Q106" s="4"/>
      <c r="R106" s="4"/>
      <c r="S106" s="4"/>
      <c r="T106" s="1298" t="s">
        <v>1019</v>
      </c>
      <c r="U106" s="1298"/>
      <c r="V106" s="1298"/>
      <c r="W106" s="1298"/>
      <c r="X106" s="1298"/>
      <c r="Y106" s="4"/>
    </row>
    <row r="107" spans="1:25"/>
  </sheetData>
  <sheetProtection selectLockedCells="1"/>
  <mergeCells count="352">
    <mergeCell ref="AO39:AP39"/>
    <mergeCell ref="AL30:AM30"/>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54" priority="18">
      <formula>COUNTIF($AN$32:$AN$39,RIGHT(B9,1))&gt;0</formula>
    </cfRule>
  </conditionalFormatting>
  <conditionalFormatting sqref="C44 F44 I44 L44 O44 R44 U44 X44 AA44 AD44 AG44 AJ44">
    <cfRule type="expression" dxfId="1253" priority="17">
      <formula>COUNTIF($AN$32:$AN$39,RIGHT(B9,1))&gt;0</formula>
    </cfRule>
  </conditionalFormatting>
  <conditionalFormatting sqref="B5 E5 H5 K5 N5 Q5 T5 W5 Z5 AC5 AF5 AI5">
    <cfRule type="expression" dxfId="1252" priority="16">
      <formula>COUNTIF($AN$32:$AN$39,RIGHT(B9,1))&gt;0</formula>
    </cfRule>
  </conditionalFormatting>
  <conditionalFormatting sqref="C5 F5 I5 L5 O5 R5 U5 X5 AA5 AD5 AG5 AJ5">
    <cfRule type="expression" dxfId="1251"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50"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49"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48" priority="12">
      <formula>INT(B12)=TODAY()</formula>
    </cfRule>
  </conditionalFormatting>
  <conditionalFormatting sqref="B52 E52 H52 K52 N52 Q52 T52 W52 Z52 AC52 AF52 AI52 AL52 AO52 AR52 AU52 B62 E62 H62 K62 N62 Q62 T62 W62">
    <cfRule type="expression" dxfId="1247" priority="11">
      <formula>AND(B51=C51,B51&lt;&gt;"")</formula>
    </cfRule>
  </conditionalFormatting>
  <conditionalFormatting sqref="C72 I72 O72 U72 F82 R82 L90 L100">
    <cfRule type="expression" dxfId="1246" priority="10">
      <formula>AND(C71=E71,C71&lt;&gt;"")</formula>
    </cfRule>
  </conditionalFormatting>
  <conditionalFormatting sqref="B53 E53 H53 K53 N53 Q53 T53 W53 Z53 AC53 AF53 AI53 AL53 AO53 AR53 AU53 B63 E63 H63 K63 N63 Q63 T63 W63">
    <cfRule type="expression" dxfId="1245" priority="9">
      <formula>AND(B51=C51,B51&lt;&gt;"")</formula>
    </cfRule>
  </conditionalFormatting>
  <conditionalFormatting sqref="C53 F53 I53 L53 O53 R53 U53 X53 AA53 AD53 AG53 AJ53 AM53 AP53 AS53 AV53 C63 F63 I63 L63 O63 R63 U63 X63">
    <cfRule type="expression" dxfId="1244" priority="8">
      <formula>AND(B51=C51,B51&lt;&gt;"")</formula>
    </cfRule>
  </conditionalFormatting>
  <conditionalFormatting sqref="C73 I73 O73 U73 R83 F83 L91 L101">
    <cfRule type="expression" dxfId="1243" priority="7">
      <formula>AND(C71=E71,C71&lt;&gt;"")</formula>
    </cfRule>
  </conditionalFormatting>
  <conditionalFormatting sqref="E73 K73 Q73 W73 H83 T83 N91 N101">
    <cfRule type="expression" dxfId="1242" priority="6">
      <formula>AND(C71=E71,C71&lt;&gt;"")</formula>
    </cfRule>
  </conditionalFormatting>
  <conditionalFormatting sqref="E71 K71 Q71 W71 H81 T81 N89 N99">
    <cfRule type="expression" dxfId="1241" priority="5">
      <formula>AND(C69&lt;NOW()-0.125,E71="")</formula>
    </cfRule>
  </conditionalFormatting>
  <conditionalFormatting sqref="B3:AV99">
    <cfRule type="expression" dxfId="1240" priority="1">
      <formula>AND(B3=$AZ$10,B3&lt;&gt;"")</formula>
    </cfRule>
    <cfRule type="expression" dxfId="1239" priority="2">
      <formula>AND(B3=$AZ$9,B3&lt;&gt;"")</formula>
    </cfRule>
    <cfRule type="expression" dxfId="1238" priority="3">
      <formula>AND(B3=$AZ$8,B3&lt;&gt;"")</formula>
    </cfRule>
    <cfRule type="expression" dxfId="1237"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30:AL39 AL40:AN43 AO44:AQ45 AQ37:AQ38 AO36:AQ36 AO39:AQ39 AL44:AL45"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Portugal</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995</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Congo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46</v>
      </c>
      <c r="R6" s="813">
        <f t="shared" ref="R6:R8" si="3">(1000-Q6)*($L$9&gt;0)</f>
        <v>954</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Oezbekistan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50</v>
      </c>
      <c r="R7" s="813">
        <f t="shared" si="3"/>
        <v>950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Colombia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987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Portugal</v>
      </c>
      <c r="BF13" s="693" t="str">
        <v>Colombia</v>
      </c>
      <c r="BG13" s="693" t="str">
        <v>Congo</v>
      </c>
      <c r="BH13" s="694" t="str">
        <v>Oezbekistan</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Portugal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Portugal</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Congo</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Colombia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Oezbekistan</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Congo</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Colombia</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Oezbekistan</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Portugal</v>
      </c>
      <c r="I21" s="722" t="str">
        <v>Colombia</v>
      </c>
      <c r="J21" s="722" t="str">
        <v>Congo</v>
      </c>
      <c r="K21" s="723" t="str">
        <v>Oezbekistan</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Portugal</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5</v>
      </c>
      <c r="O22" s="732" t="s">
        <v>26</v>
      </c>
      <c r="P22" s="768" t="str">
        <f>INDEX('World Cup'!$B$13:$AJ$38,1,1+(CODE($B$1)-65)*3)</f>
        <v>Portugal</v>
      </c>
      <c r="Q22" s="769" t="str">
        <f>INDEX('World Cup'!$B$13:$AJ$38,1,2+(CODE($B$1)-65)*3)</f>
        <v>Congo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PortugalCongo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Colombia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13</v>
      </c>
      <c r="O23" s="744" t="s">
        <v>27</v>
      </c>
      <c r="P23" s="771" t="str">
        <f>INDEX('World Cup'!$B$13:$AJ$38,6,1+(CODE($B$1)-65)*3)</f>
        <v>Oezbekistan</v>
      </c>
      <c r="Q23" s="772" t="str">
        <f>INDEX('World Cup'!$B$13:$AJ$38,6,2+(CODE($B$1)-65)*3)</f>
        <v>Colombia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OezbekistanColombia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Congo</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46</v>
      </c>
      <c r="O24" s="744" t="s">
        <v>28</v>
      </c>
      <c r="P24" s="771" t="str">
        <f>INDEX('World Cup'!$B$13:$AJ$38,11,1+(CODE($B$1)-65)*3)</f>
        <v>Portugal</v>
      </c>
      <c r="Q24" s="772" t="str">
        <f>INDEX('World Cup'!$B$13:$AJ$38,11,2+(CODE($B$1)-65)*3)</f>
        <v>Oezbekistan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PortugalOezbekistan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Oezbekistan</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50</v>
      </c>
      <c r="O25" s="744" t="s">
        <v>29</v>
      </c>
      <c r="P25" s="771" t="str">
        <f>INDEX('World Cup'!$B$13:$AJ$38,16,1+(CODE($B$1)-65)*3)</f>
        <v>Colombia</v>
      </c>
      <c r="Q25" s="772" t="str">
        <f>INDEX('World Cup'!$B$13:$AJ$38,16,2+(CODE($B$1)-65)*3)</f>
        <v>Congo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ColombiaCongo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Colombia</v>
      </c>
      <c r="Q26" s="772" t="str">
        <f>INDEX('World Cup'!$B$13:$AJ$38,21,2+(CODE($B$1)-65)*3)</f>
        <v>Portugal</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Congo</v>
      </c>
      <c r="Q27" s="775" t="str">
        <f>INDEX('World Cup'!$B$13:$AJ$38,26,2+(CODE($B$1)-65)*3)</f>
        <v>Oezbekistan</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CongoOezbekistan</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CongoPortugal</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ColombiaOezbekistan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OezbekistanPortugal</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CongoColombia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OezbekistanCongo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Engeland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996</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Kroatië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11</v>
      </c>
      <c r="R6" s="813">
        <f t="shared" ref="R6:R8" si="3">(1000-Q6)*($L$9&gt;0)</f>
        <v>989</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Ghana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74</v>
      </c>
      <c r="R7" s="813">
        <f t="shared" si="3"/>
        <v>926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Panama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33</v>
      </c>
      <c r="R8" s="813">
        <f t="shared" si="3"/>
        <v>967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Engeland</v>
      </c>
      <c r="BF13" s="693" t="str">
        <v>Kroatië</v>
      </c>
      <c r="BG13" s="693" t="str">
        <v>Panama</v>
      </c>
      <c r="BH13" s="694" t="str">
        <v>Ghana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Engeland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Engeland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Kroatië</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Kroatië</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Ghana</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Panama</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Panama</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Ghana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Engeland</v>
      </c>
      <c r="I21" s="722" t="str">
        <v>Kroatië</v>
      </c>
      <c r="J21" s="722" t="str">
        <v>Panama</v>
      </c>
      <c r="K21" s="723" t="str">
        <v>Ghana</v>
      </c>
      <c r="L21" s="663" t="s">
        <v>1793</v>
      </c>
      <c r="M21" s="668" t="s">
        <v>1791</v>
      </c>
      <c r="N21" s="676" t="s">
        <v>1794</v>
      </c>
      <c r="T21" s="719" t="s">
        <v>169</v>
      </c>
      <c r="U21" s="1435" t="s">
        <v>1107</v>
      </c>
      <c r="V21" s="1435"/>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Engeland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4</v>
      </c>
      <c r="O22" s="732" t="s">
        <v>26</v>
      </c>
      <c r="P22" s="768" t="str">
        <f>INDEX('World Cup'!$B$13:$AJ$38,1,1+(CODE($B$1)-65)*3)</f>
        <v>Engeland</v>
      </c>
      <c r="Q22" s="769" t="str">
        <f>INDEX('World Cup'!$B$13:$AJ$38,1,2+(CODE($B$1)-65)*3)</f>
        <v>Kroatië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EngelandKroatië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Kroatië</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11</v>
      </c>
      <c r="O23" s="744" t="s">
        <v>27</v>
      </c>
      <c r="P23" s="771" t="str">
        <f>INDEX('World Cup'!$B$13:$AJ$38,6,1+(CODE($B$1)-65)*3)</f>
        <v>Ghana</v>
      </c>
      <c r="Q23" s="772" t="str">
        <f>INDEX('World Cup'!$B$13:$AJ$38,6,2+(CODE($B$1)-65)*3)</f>
        <v>Panama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GhanaPanama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Panama</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33</v>
      </c>
      <c r="O24" s="744" t="s">
        <v>28</v>
      </c>
      <c r="P24" s="771" t="str">
        <f>INDEX('World Cup'!$B$13:$AJ$38,11,1+(CODE($B$1)-65)*3)</f>
        <v>Engeland</v>
      </c>
      <c r="Q24" s="772" t="str">
        <f>INDEX('World Cup'!$B$13:$AJ$38,11,2+(CODE($B$1)-65)*3)</f>
        <v>Ghana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EngelandGhana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Ghana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74</v>
      </c>
      <c r="O25" s="744" t="s">
        <v>29</v>
      </c>
      <c r="P25" s="771" t="str">
        <f>INDEX('World Cup'!$B$13:$AJ$38,16,1+(CODE($B$1)-65)*3)</f>
        <v>Panama</v>
      </c>
      <c r="Q25" s="772" t="str">
        <f>INDEX('World Cup'!$B$13:$AJ$38,16,2+(CODE($B$1)-65)*3)</f>
        <v>Kroatië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PanamaKroatië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Panama</v>
      </c>
      <c r="Q26" s="772" t="str">
        <f>INDEX('World Cup'!$B$13:$AJ$38,21,2+(CODE($B$1)-65)*3)</f>
        <v>Engeland</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PanamaEngeland</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Kroatië</v>
      </c>
      <c r="Q27" s="775" t="str">
        <f>INDEX('World Cup'!$B$13:$AJ$38,26,2+(CODE($B$1)-65)*3)</f>
        <v>Ghana</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KroatiëGhana</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KroatiëEngeland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GhanaEngeland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KroatiëPanama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EngelandPanama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GhanaKroatië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66"/>
  <sheetViews>
    <sheetView showGridLines="0" showRowColHeaders="0" topLeftCell="A64" workbookViewId="0">
      <selection activeCell="L21" sqref="L21"/>
    </sheetView>
  </sheetViews>
  <sheetFormatPr defaultColWidth="0" defaultRowHeight="15" zeroHeight="1"/>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8"/>
      <c r="B1" s="1310" t="str">
        <f>Language!$E$250</f>
        <v>Dagelijkse planning</v>
      </c>
      <c r="C1" s="1310"/>
      <c r="D1" s="1310"/>
      <c r="E1" s="1310"/>
      <c r="F1" s="1310"/>
      <c r="G1" s="1310"/>
      <c r="H1" s="1310"/>
      <c r="I1" s="626"/>
    </row>
    <row r="2" spans="1:14" ht="29.25" thickBot="1">
      <c r="A2" s="549"/>
      <c r="B2" s="233"/>
      <c r="C2" s="233"/>
      <c r="D2" s="233"/>
      <c r="E2" s="233"/>
      <c r="F2" s="233"/>
      <c r="G2" s="233"/>
      <c r="H2" s="233"/>
      <c r="I2" s="233"/>
      <c r="M2" s="1311" t="str">
        <f>Language!$E$261</f>
        <v>Kleur de favorieten</v>
      </c>
      <c r="N2" s="1311"/>
    </row>
    <row r="3" spans="1:14" ht="16.5" thickTop="1" thickBot="1">
      <c r="A3" s="549"/>
      <c r="B3" s="550" t="str">
        <f>Language!$E$260</f>
        <v>Datum</v>
      </c>
      <c r="C3" s="551" t="str">
        <f>Language!$E$253</f>
        <v>Tijd</v>
      </c>
      <c r="D3" s="551" t="str">
        <f>Language!$E$254</f>
        <v>Team 1</v>
      </c>
      <c r="E3" s="638" t="str">
        <f>Language!$E$255</f>
        <v>Team 2</v>
      </c>
      <c r="F3" s="639" t="str">
        <f>Language!$E$251</f>
        <v>Spel nr</v>
      </c>
      <c r="G3" s="1312" t="str">
        <f>Language!$E$252</f>
        <v>Teams</v>
      </c>
      <c r="H3" s="1312"/>
      <c r="I3" s="639" t="str">
        <f>Language!$E$185</f>
        <v>Locatie</v>
      </c>
      <c r="J3" s="640" t="str">
        <f>Language!$E$184</f>
        <v>tv kanaal</v>
      </c>
      <c r="K3" s="627"/>
      <c r="M3" s="1313" t="str">
        <f>Language!$E$262</f>
        <v>Vul hier de groepscode in</v>
      </c>
      <c r="N3" s="1313"/>
    </row>
    <row r="4" spans="1:14">
      <c r="A4" s="4"/>
      <c r="B4" s="552">
        <f>INDEX(Matches!$B$4:$J$113,MATCH($F4,Matches!$B$4:$B$113,0),5)</f>
        <v>46184.875</v>
      </c>
      <c r="C4" s="553">
        <f>INDEX(Matches!$B$4:$J$113,MATCH($F4,Matches!$B$4:$B$113,0),5)</f>
        <v>46184.875</v>
      </c>
      <c r="D4" s="554" t="str">
        <f>INDEX(Matches!$B$4:$J$113,MATCH($F4,Matches!$B$4:$B$113,0),8)</f>
        <v>Mexico</v>
      </c>
      <c r="E4" s="554" t="str">
        <f>INDEX(Matches!$B$4:$J$113,MATCH($F4,Matches!$B$4:$B$113,0),9)</f>
        <v>Zuid-Afrika</v>
      </c>
      <c r="F4" s="555">
        <v>1</v>
      </c>
      <c r="G4" s="556" t="str">
        <f>INDEX(Matches!$B$4:$J$113,MATCH($F4,Matches!$B$4:$B$113,0),2)</f>
        <v>A1</v>
      </c>
      <c r="H4" s="556" t="str">
        <f>INDEX(Matches!$B$4:$J$113,MATCH($F4,Matches!$B$4:$B$113,0),3)</f>
        <v>A2</v>
      </c>
      <c r="I4" s="556" t="str">
        <f>IFERROR(VLOOKUP($F4,Matches!$B$4:$H$113,7,0),"")</f>
        <v>Mexico City</v>
      </c>
      <c r="J4" s="809"/>
      <c r="K4" s="810"/>
      <c r="M4" s="1313"/>
      <c r="N4" s="1313"/>
    </row>
    <row r="5" spans="1:14">
      <c r="A5" s="4"/>
      <c r="B5" s="552">
        <f>INDEX(Matches!$B$4:$J$113,MATCH($F5,Matches!$B$4:$B$113,0),5)</f>
        <v>46185.166666666664</v>
      </c>
      <c r="C5" s="553">
        <f>INDEX(Matches!$B$4:$J$113,MATCH($F5,Matches!$B$4:$B$113,0),5)</f>
        <v>46185.166666666664</v>
      </c>
      <c r="D5" s="554" t="str">
        <f>INDEX(Matches!$B$4:$J$113,MATCH($F5,Matches!$B$4:$B$113,0),8)</f>
        <v>Zuid-Korea</v>
      </c>
      <c r="E5" s="554" t="str">
        <f>INDEX(Matches!$B$4:$J$113,MATCH($F5,Matches!$B$4:$B$113,0),9)</f>
        <v>Tsjechië</v>
      </c>
      <c r="F5" s="557">
        <v>2</v>
      </c>
      <c r="G5" s="556" t="str">
        <f>INDEX(Matches!$B$4:$J$113,MATCH($F5,Matches!$B$4:$B$113,0),2)</f>
        <v>A3</v>
      </c>
      <c r="H5" s="556" t="str">
        <f>INDEX(Matches!$B$4:$J$113,MATCH($F5,Matches!$B$4:$B$113,0),3)</f>
        <v>A4</v>
      </c>
      <c r="I5" s="556" t="str">
        <f>IFERROR(VLOOKUP($F5,Matches!$B$4:$H$113,7,0),"")</f>
        <v>Guadalajara</v>
      </c>
      <c r="J5" s="809"/>
      <c r="K5" s="810"/>
      <c r="M5" s="1313"/>
      <c r="N5" s="1313"/>
    </row>
    <row r="6" spans="1:14" ht="15.75" thickBot="1">
      <c r="A6" s="4"/>
      <c r="B6" s="558"/>
      <c r="C6" s="559"/>
      <c r="D6" s="560"/>
      <c r="E6" s="560"/>
      <c r="F6" s="561"/>
      <c r="G6" s="562"/>
      <c r="H6" s="562"/>
      <c r="I6" s="562"/>
      <c r="J6" s="562"/>
      <c r="K6" s="563"/>
      <c r="M6" s="564" t="s">
        <v>1644</v>
      </c>
    </row>
    <row r="7" spans="1:14">
      <c r="A7" s="4"/>
      <c r="B7" s="552">
        <f>INDEX(Matches!$B$4:$J$113,MATCH($F7,Matches!$B$4:$B$113,0),5)</f>
        <v>46186.125</v>
      </c>
      <c r="C7" s="553">
        <f>INDEX(Matches!$B$4:$J$113,MATCH($F7,Matches!$B$4:$B$113,0),5)</f>
        <v>46186.125</v>
      </c>
      <c r="D7" s="554" t="str">
        <f>INDEX(Matches!$B$4:$J$113,MATCH($F7,Matches!$B$4:$B$113,0),8)</f>
        <v>USA</v>
      </c>
      <c r="E7" s="554" t="str">
        <f>INDEX(Matches!$B$4:$J$113,MATCH($F7,Matches!$B$4:$B$113,0),9)</f>
        <v>Paraguay</v>
      </c>
      <c r="F7" s="557">
        <v>4</v>
      </c>
      <c r="G7" s="556" t="str">
        <f>INDEX(Matches!$B$4:$J$113,MATCH($F7,Matches!$B$4:$B$113,0),2)</f>
        <v>D1</v>
      </c>
      <c r="H7" s="556" t="str">
        <f>INDEX(Matches!$B$4:$J$113,MATCH($F7,Matches!$B$4:$B$113,0),3)</f>
        <v>D2</v>
      </c>
      <c r="I7" s="556" t="str">
        <f>IFERROR(VLOOKUP($F7,Matches!$B$4:$H$113,7,0),"")</f>
        <v>Los Angeles</v>
      </c>
      <c r="J7" s="809"/>
      <c r="K7" s="810"/>
      <c r="M7" s="565" t="s">
        <v>851</v>
      </c>
      <c r="N7" s="566" t="str">
        <f>IFERROR(VLOOKUP(M7,Groups!$B$7:$D$65,3,0),"")</f>
        <v>Engeland</v>
      </c>
    </row>
    <row r="8" spans="1:14">
      <c r="A8" s="4"/>
      <c r="B8" s="552">
        <f>INDEX(Matches!$B$4:$J$113,MATCH($F8,Matches!$B$4:$B$113,0),5)</f>
        <v>46185.875</v>
      </c>
      <c r="C8" s="553">
        <f>INDEX(Matches!$B$4:$J$113,MATCH($F8,Matches!$B$4:$B$113,0),5)</f>
        <v>46185.875</v>
      </c>
      <c r="D8" s="554" t="str">
        <f>INDEX(Matches!$B$4:$J$113,MATCH($F8,Matches!$B$4:$B$113,0),8)</f>
        <v>Canada</v>
      </c>
      <c r="E8" s="554" t="str">
        <f>INDEX(Matches!$B$4:$J$113,MATCH($F8,Matches!$B$4:$B$113,0),9)</f>
        <v>Bosnië/Herz.</v>
      </c>
      <c r="F8" s="557">
        <v>3</v>
      </c>
      <c r="G8" s="556" t="str">
        <f>INDEX(Matches!$B$4:$J$113,MATCH($F8,Matches!$B$4:$B$113,0),2)</f>
        <v>B1</v>
      </c>
      <c r="H8" s="556" t="str">
        <f>INDEX(Matches!$B$4:$J$113,MATCH($F8,Matches!$B$4:$B$113,0),3)</f>
        <v>B2</v>
      </c>
      <c r="I8" s="556" t="str">
        <f>IFERROR(VLOOKUP($F8,Matches!$B$4:$H$113,7,0),"")</f>
        <v>Toronto</v>
      </c>
      <c r="J8" s="809"/>
      <c r="K8" s="810"/>
      <c r="M8" s="567" t="s">
        <v>180</v>
      </c>
      <c r="N8" s="568" t="str">
        <f>IFERROR(VLOOKUP(M8,Groups!$B$7:$D$65,3,0),"")</f>
        <v>USA</v>
      </c>
    </row>
    <row r="9" spans="1:14">
      <c r="A9" s="4"/>
      <c r="B9" s="552">
        <f>INDEX(Matches!$B$4:$J$113,MATCH($F9,Matches!$B$4:$B$113,0),5)</f>
        <v>46187.125</v>
      </c>
      <c r="C9" s="553">
        <f>INDEX(Matches!$B$4:$J$113,MATCH($F9,Matches!$B$4:$B$113,0),5)</f>
        <v>46187.125</v>
      </c>
      <c r="D9" s="554" t="str">
        <f>INDEX(Matches!$B$4:$J$113,MATCH($F9,Matches!$B$4:$B$113,0),8)</f>
        <v>Haïti</v>
      </c>
      <c r="E9" s="554" t="str">
        <f>INDEX(Matches!$B$4:$J$113,MATCH($F9,Matches!$B$4:$B$113,0),9)</f>
        <v>Schotland</v>
      </c>
      <c r="F9" s="557">
        <v>5</v>
      </c>
      <c r="G9" s="556" t="str">
        <f>INDEX(Matches!$B$4:$J$113,MATCH($F9,Matches!$B$4:$B$113,0),2)</f>
        <v>C3</v>
      </c>
      <c r="H9" s="556" t="str">
        <f>INDEX(Matches!$B$4:$J$113,MATCH($F9,Matches!$B$4:$B$113,0),3)</f>
        <v>C4</v>
      </c>
      <c r="I9" s="556" t="str">
        <f>IFERROR(VLOOKUP($F9,Matches!$B$4:$H$113,7,0),"")</f>
        <v>Boston</v>
      </c>
      <c r="J9" s="809"/>
      <c r="K9" s="810"/>
      <c r="M9" s="567" t="s">
        <v>174</v>
      </c>
      <c r="N9" s="569" t="str">
        <f>IFERROR(VLOOKUP(M9,Groups!$B$7:$D$65,3,0),"")</f>
        <v>Canada</v>
      </c>
    </row>
    <row r="10" spans="1:14" ht="15.75" thickBot="1">
      <c r="A10" s="4"/>
      <c r="B10" s="558"/>
      <c r="C10" s="559"/>
      <c r="D10" s="560"/>
      <c r="E10" s="560"/>
      <c r="F10" s="561"/>
      <c r="G10" s="562"/>
      <c r="H10" s="562"/>
      <c r="I10" s="562"/>
      <c r="J10" s="562"/>
      <c r="K10" s="563"/>
      <c r="M10" s="570" t="s">
        <v>171</v>
      </c>
      <c r="N10" s="571" t="str">
        <f>IFERROR(VLOOKUP(M10,Groups!$B$7:$D$65,3,0),"")</f>
        <v>Mexico</v>
      </c>
    </row>
    <row r="11" spans="1:14">
      <c r="A11" s="4"/>
      <c r="B11" s="552">
        <f>INDEX(Matches!$B$4:$J$113,MATCH($F11,Matches!$B$4:$B$113,0),5)</f>
        <v>46188.041666666664</v>
      </c>
      <c r="C11" s="553">
        <f>INDEX(Matches!$B$4:$J$113,MATCH($F11,Matches!$B$4:$B$113,0),5)</f>
        <v>46188.041666666664</v>
      </c>
      <c r="D11" s="554" t="str">
        <f>INDEX(Matches!$B$4:$J$113,MATCH($F11,Matches!$B$4:$B$113,0),8)</f>
        <v>Ivoorkust</v>
      </c>
      <c r="E11" s="554" t="str">
        <f>INDEX(Matches!$B$4:$J$113,MATCH($F11,Matches!$B$4:$B$113,0),9)</f>
        <v>Ecuador</v>
      </c>
      <c r="F11" s="557">
        <v>9</v>
      </c>
      <c r="G11" s="556" t="str">
        <f>INDEX(Matches!$B$4:$J$113,MATCH($F11,Matches!$B$4:$B$113,0),2)</f>
        <v>E3</v>
      </c>
      <c r="H11" s="556" t="str">
        <f>INDEX(Matches!$B$4:$J$113,MATCH($F11,Matches!$B$4:$B$113,0),3)</f>
        <v>E4</v>
      </c>
      <c r="I11" s="556" t="str">
        <f>IFERROR(VLOOKUP($F11,Matches!$B$4:$H$113,7,0),"")</f>
        <v>Philadelphia</v>
      </c>
      <c r="J11" s="809"/>
      <c r="K11" s="810"/>
    </row>
    <row r="12" spans="1:14">
      <c r="A12" s="4"/>
      <c r="B12" s="552">
        <f>INDEX(Matches!$B$4:$J$113,MATCH($F12,Matches!$B$4:$B$113,0),5)</f>
        <v>46187.25</v>
      </c>
      <c r="C12" s="553">
        <f>INDEX(Matches!$B$4:$J$113,MATCH($F12,Matches!$B$4:$B$113,0),5)</f>
        <v>46187.25</v>
      </c>
      <c r="D12" s="554" t="str">
        <f>INDEX(Matches!$B$4:$J$113,MATCH($F12,Matches!$B$4:$B$113,0),8)</f>
        <v>Australië</v>
      </c>
      <c r="E12" s="554" t="str">
        <f>INDEX(Matches!$B$4:$J$113,MATCH($F12,Matches!$B$4:$B$113,0),9)</f>
        <v>Turkije</v>
      </c>
      <c r="F12" s="557">
        <v>6</v>
      </c>
      <c r="G12" s="556" t="str">
        <f>INDEX(Matches!$B$4:$J$113,MATCH($F12,Matches!$B$4:$B$113,0),2)</f>
        <v>D3</v>
      </c>
      <c r="H12" s="556" t="str">
        <f>INDEX(Matches!$B$4:$J$113,MATCH($F12,Matches!$B$4:$B$113,0),3)</f>
        <v>D4</v>
      </c>
      <c r="I12" s="556" t="str">
        <f>IFERROR(VLOOKUP($F12,Matches!$B$4:$H$113,7,0),"")</f>
        <v>Vancouver</v>
      </c>
      <c r="J12" s="809"/>
      <c r="K12" s="810"/>
    </row>
    <row r="13" spans="1:14">
      <c r="A13" s="4"/>
      <c r="B13" s="552">
        <f>INDEX(Matches!$B$4:$J$113,MATCH($F13,Matches!$B$4:$B$113,0),5)</f>
        <v>46187</v>
      </c>
      <c r="C13" s="553">
        <f>INDEX(Matches!$B$4:$J$113,MATCH($F13,Matches!$B$4:$B$113,0),5)</f>
        <v>46187</v>
      </c>
      <c r="D13" s="554" t="str">
        <f>INDEX(Matches!$B$4:$J$113,MATCH($F13,Matches!$B$4:$B$113,0),8)</f>
        <v>Brazilië</v>
      </c>
      <c r="E13" s="554" t="str">
        <f>INDEX(Matches!$B$4:$J$113,MATCH($F13,Matches!$B$4:$B$113,0),9)</f>
        <v>Marokko</v>
      </c>
      <c r="F13" s="557">
        <v>7</v>
      </c>
      <c r="G13" s="556" t="str">
        <f>INDEX(Matches!$B$4:$J$113,MATCH($F13,Matches!$B$4:$B$113,0),2)</f>
        <v>C1</v>
      </c>
      <c r="H13" s="556" t="str">
        <f>INDEX(Matches!$B$4:$J$113,MATCH($F13,Matches!$B$4:$B$113,0),3)</f>
        <v>C2</v>
      </c>
      <c r="I13" s="556" t="str">
        <f>IFERROR(VLOOKUP($F13,Matches!$B$4:$H$113,7,0),"")</f>
        <v>New York/New Jersey</v>
      </c>
      <c r="J13" s="809"/>
      <c r="K13" s="810"/>
    </row>
    <row r="14" spans="1:14">
      <c r="A14" s="4"/>
      <c r="B14" s="552">
        <f>INDEX(Matches!$B$4:$J$113,MATCH($F14,Matches!$B$4:$B$113,0),5)</f>
        <v>46186.875</v>
      </c>
      <c r="C14" s="553">
        <f>INDEX(Matches!$B$4:$J$113,MATCH($F14,Matches!$B$4:$B$113,0),5)</f>
        <v>46186.875</v>
      </c>
      <c r="D14" s="554" t="str">
        <f>INDEX(Matches!$B$4:$J$113,MATCH($F14,Matches!$B$4:$B$113,0),8)</f>
        <v>Qatar</v>
      </c>
      <c r="E14" s="554" t="str">
        <f>INDEX(Matches!$B$4:$J$113,MATCH($F14,Matches!$B$4:$B$113,0),9)</f>
        <v>Zwitserland</v>
      </c>
      <c r="F14" s="557">
        <v>8</v>
      </c>
      <c r="G14" s="556" t="str">
        <f>INDEX(Matches!$B$4:$J$113,MATCH($F14,Matches!$B$4:$B$113,0),2)</f>
        <v>B3</v>
      </c>
      <c r="H14" s="556" t="str">
        <f>INDEX(Matches!$B$4:$J$113,MATCH($F14,Matches!$B$4:$B$113,0),3)</f>
        <v>B4</v>
      </c>
      <c r="I14" s="556" t="str">
        <f>IFERROR(VLOOKUP($F14,Matches!$B$4:$H$113,7,0),"")</f>
        <v>San Francisco Bay Area</v>
      </c>
      <c r="J14" s="809"/>
      <c r="K14" s="810"/>
    </row>
    <row r="15" spans="1:14">
      <c r="A15" s="4"/>
      <c r="B15" s="558"/>
      <c r="C15" s="559"/>
      <c r="D15" s="560"/>
      <c r="E15" s="560"/>
      <c r="F15" s="561"/>
      <c r="G15" s="562"/>
      <c r="H15" s="562"/>
      <c r="I15" s="562"/>
      <c r="J15" s="562"/>
      <c r="K15" s="563"/>
    </row>
    <row r="16" spans="1:14">
      <c r="A16" s="4"/>
      <c r="B16" s="552">
        <f>INDEX(Matches!$B$4:$J$113,MATCH($F16,Matches!$B$4:$B$113,0),5)</f>
        <v>46188.166666666664</v>
      </c>
      <c r="C16" s="553">
        <f>INDEX(Matches!$B$4:$J$113,MATCH($F16,Matches!$B$4:$B$113,0),5)</f>
        <v>46188.166666666664</v>
      </c>
      <c r="D16" s="554" t="str">
        <f>INDEX(Matches!$B$4:$J$113,MATCH($F16,Matches!$B$4:$B$113,0),8)</f>
        <v>Zweden</v>
      </c>
      <c r="E16" s="554" t="str">
        <f>INDEX(Matches!$B$4:$J$113,MATCH($F16,Matches!$B$4:$B$113,0),9)</f>
        <v>Tunesië</v>
      </c>
      <c r="F16" s="557">
        <v>12</v>
      </c>
      <c r="G16" s="556" t="str">
        <f>INDEX(Matches!$B$4:$J$113,MATCH($F16,Matches!$B$4:$B$113,0),2)</f>
        <v>F3</v>
      </c>
      <c r="H16" s="556" t="str">
        <f>INDEX(Matches!$B$4:$J$113,MATCH($F16,Matches!$B$4:$B$113,0),3)</f>
        <v>F4</v>
      </c>
      <c r="I16" s="556" t="str">
        <f>IFERROR(VLOOKUP($F16,Matches!$B$4:$H$113,7,0),"")</f>
        <v>Monterrey</v>
      </c>
      <c r="J16" s="809"/>
      <c r="K16" s="810"/>
    </row>
    <row r="17" spans="1:11">
      <c r="A17" s="4"/>
      <c r="B17" s="552">
        <f>INDEX(Matches!$B$4:$J$113,MATCH($F17,Matches!$B$4:$B$113,0),5)</f>
        <v>46187.791666666664</v>
      </c>
      <c r="C17" s="553">
        <f>INDEX(Matches!$B$4:$J$113,MATCH($F17,Matches!$B$4:$B$113,0),5)</f>
        <v>46187.791666666664</v>
      </c>
      <c r="D17" s="554" t="str">
        <f>INDEX(Matches!$B$4:$J$113,MATCH($F17,Matches!$B$4:$B$113,0),8)</f>
        <v>Duitsland</v>
      </c>
      <c r="E17" s="554" t="str">
        <f>INDEX(Matches!$B$4:$J$113,MATCH($F17,Matches!$B$4:$B$113,0),9)</f>
        <v>Curacao</v>
      </c>
      <c r="F17" s="557">
        <v>10</v>
      </c>
      <c r="G17" s="556" t="str">
        <f>INDEX(Matches!$B$4:$J$113,MATCH($F17,Matches!$B$4:$B$113,0),2)</f>
        <v>E1</v>
      </c>
      <c r="H17" s="556" t="str">
        <f>INDEX(Matches!$B$4:$J$113,MATCH($F17,Matches!$B$4:$B$113,0),3)</f>
        <v>E2</v>
      </c>
      <c r="I17" s="556" t="str">
        <f>IFERROR(VLOOKUP($F17,Matches!$B$4:$H$113,7,0),"")</f>
        <v>Houston</v>
      </c>
      <c r="J17" s="809"/>
      <c r="K17" s="810"/>
    </row>
    <row r="18" spans="1:11">
      <c r="A18" s="4"/>
      <c r="B18" s="552">
        <f>INDEX(Matches!$B$4:$J$113,MATCH($F18,Matches!$B$4:$B$113,0),5)</f>
        <v>46187.916666666664</v>
      </c>
      <c r="C18" s="553">
        <f>INDEX(Matches!$B$4:$J$113,MATCH($F18,Matches!$B$4:$B$113,0),5)</f>
        <v>46187.916666666664</v>
      </c>
      <c r="D18" s="554" t="str">
        <f>INDEX(Matches!$B$4:$J$113,MATCH($F18,Matches!$B$4:$B$113,0),8)</f>
        <v>Nederland</v>
      </c>
      <c r="E18" s="554" t="str">
        <f>INDEX(Matches!$B$4:$J$113,MATCH($F18,Matches!$B$4:$B$113,0),9)</f>
        <v>Japan</v>
      </c>
      <c r="F18" s="557">
        <v>11</v>
      </c>
      <c r="G18" s="556" t="str">
        <f>INDEX(Matches!$B$4:$J$113,MATCH($F18,Matches!$B$4:$B$113,0),2)</f>
        <v>F1</v>
      </c>
      <c r="H18" s="556" t="str">
        <f>INDEX(Matches!$B$4:$J$113,MATCH($F18,Matches!$B$4:$B$113,0),3)</f>
        <v>F2</v>
      </c>
      <c r="I18" s="556" t="str">
        <f>IFERROR(VLOOKUP($F18,Matches!$B$4:$H$113,7,0),"")</f>
        <v>Dallas</v>
      </c>
      <c r="J18" s="809"/>
      <c r="K18" s="810"/>
    </row>
    <row r="19" spans="1:11">
      <c r="A19" s="4"/>
      <c r="B19" s="558"/>
      <c r="C19" s="559"/>
      <c r="D19" s="560"/>
      <c r="E19" s="560"/>
      <c r="F19" s="561"/>
      <c r="G19" s="562"/>
      <c r="H19" s="562"/>
      <c r="I19" s="562"/>
      <c r="J19" s="562"/>
      <c r="K19" s="563"/>
    </row>
    <row r="20" spans="1:11">
      <c r="A20" s="4"/>
      <c r="B20" s="552">
        <f>INDEX(Matches!$B$4:$J$113,MATCH($F20,Matches!$B$4:$B$113,0),5)</f>
        <v>46188.75</v>
      </c>
      <c r="C20" s="553">
        <f>INDEX(Matches!$B$4:$J$113,MATCH($F20,Matches!$B$4:$B$113,0),5)</f>
        <v>46188.75</v>
      </c>
      <c r="D20" s="554" t="str">
        <f>INDEX(Matches!$B$4:$J$113,MATCH($F20,Matches!$B$4:$B$113,0),8)</f>
        <v>Spanje</v>
      </c>
      <c r="E20" s="554" t="str">
        <f>INDEX(Matches!$B$4:$J$113,MATCH($F20,Matches!$B$4:$B$113,0),9)</f>
        <v>Kaapverdië</v>
      </c>
      <c r="F20" s="557">
        <v>14</v>
      </c>
      <c r="G20" s="556" t="str">
        <f>INDEX(Matches!$B$4:$J$113,MATCH($F20,Matches!$B$4:$B$113,0),2)</f>
        <v>H1</v>
      </c>
      <c r="H20" s="556" t="str">
        <f>INDEX(Matches!$B$4:$J$113,MATCH($F20,Matches!$B$4:$B$113,0),3)</f>
        <v>H2</v>
      </c>
      <c r="I20" s="556" t="str">
        <f>IFERROR(VLOOKUP($F20,Matches!$B$4:$H$113,7,0),"")</f>
        <v>Atlanta</v>
      </c>
      <c r="J20" s="809"/>
      <c r="K20" s="810"/>
    </row>
    <row r="21" spans="1:11">
      <c r="A21" s="4"/>
      <c r="B21" s="552">
        <f>INDEX(Matches!$B$4:$J$113,MATCH($F21,Matches!$B$4:$B$113,0),5)</f>
        <v>46189.125</v>
      </c>
      <c r="C21" s="553">
        <f>INDEX(Matches!$B$4:$J$113,MATCH($F21,Matches!$B$4:$B$113,0),5)</f>
        <v>46189.125</v>
      </c>
      <c r="D21" s="554" t="str">
        <f>INDEX(Matches!$B$4:$J$113,MATCH($F21,Matches!$B$4:$B$113,0),8)</f>
        <v>Iran</v>
      </c>
      <c r="E21" s="554" t="str">
        <f>INDEX(Matches!$B$4:$J$113,MATCH($F21,Matches!$B$4:$B$113,0),9)</f>
        <v>Nieuw-Zeeland</v>
      </c>
      <c r="F21" s="557">
        <v>15</v>
      </c>
      <c r="G21" s="556" t="str">
        <f>INDEX(Matches!$B$4:$J$113,MATCH($F21,Matches!$B$4:$B$113,0),2)</f>
        <v>G3</v>
      </c>
      <c r="H21" s="556" t="str">
        <f>INDEX(Matches!$B$4:$J$113,MATCH($F21,Matches!$B$4:$B$113,0),3)</f>
        <v>G4</v>
      </c>
      <c r="I21" s="556" t="str">
        <f>IFERROR(VLOOKUP($F21,Matches!$B$4:$H$113,7,0),"")</f>
        <v>Los Angeles</v>
      </c>
      <c r="J21" s="809"/>
      <c r="K21" s="810"/>
    </row>
    <row r="22" spans="1:11">
      <c r="A22" s="4"/>
      <c r="B22" s="552">
        <f>INDEX(Matches!$B$4:$J$113,MATCH($F22,Matches!$B$4:$B$113,0),5)</f>
        <v>46189</v>
      </c>
      <c r="C22" s="553">
        <f>INDEX(Matches!$B$4:$J$113,MATCH($F22,Matches!$B$4:$B$113,0),5)</f>
        <v>46189</v>
      </c>
      <c r="D22" s="554" t="str">
        <f>INDEX(Matches!$B$4:$J$113,MATCH($F22,Matches!$B$4:$B$113,0),8)</f>
        <v>Saoedi-Arabië</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c r="A23" s="4"/>
      <c r="B23" s="558"/>
      <c r="C23" s="559"/>
      <c r="D23" s="560"/>
      <c r="E23" s="560"/>
      <c r="F23" s="561"/>
      <c r="G23" s="562"/>
      <c r="H23" s="562"/>
      <c r="I23" s="562"/>
      <c r="J23" s="562"/>
      <c r="K23" s="563"/>
    </row>
    <row r="24" spans="1:11">
      <c r="A24" s="4"/>
      <c r="B24" s="552">
        <f>INDEX(Matches!$B$4:$J$113,MATCH($F24,Matches!$B$4:$B$113,0),5)</f>
        <v>46188.875</v>
      </c>
      <c r="C24" s="553">
        <f>INDEX(Matches!$B$4:$J$113,MATCH($F24,Matches!$B$4:$B$113,0),5)</f>
        <v>46188.875</v>
      </c>
      <c r="D24" s="554" t="str">
        <f>INDEX(Matches!$B$4:$J$113,MATCH($F24,Matches!$B$4:$B$113,0),8)</f>
        <v>België</v>
      </c>
      <c r="E24" s="554" t="str">
        <f>INDEX(Matches!$B$4:$J$113,MATCH($F24,Matches!$B$4:$B$113,0),9)</f>
        <v>Egypte</v>
      </c>
      <c r="F24" s="557">
        <v>16</v>
      </c>
      <c r="G24" s="556" t="str">
        <f>INDEX(Matches!$B$4:$J$113,MATCH($F24,Matches!$B$4:$B$113,0),2)</f>
        <v>G1</v>
      </c>
      <c r="H24" s="556" t="str">
        <f>INDEX(Matches!$B$4:$J$113,MATCH($F24,Matches!$B$4:$B$113,0),3)</f>
        <v>G2</v>
      </c>
      <c r="I24" s="556" t="str">
        <f>IFERROR(VLOOKUP($F24,Matches!$B$4:$H$113,7,0),"")</f>
        <v>Seattle</v>
      </c>
      <c r="J24" s="809"/>
      <c r="K24" s="810"/>
    </row>
    <row r="25" spans="1:11">
      <c r="A25" s="4"/>
      <c r="B25" s="552">
        <f>INDEX(Matches!$B$4:$J$113,MATCH($F25,Matches!$B$4:$B$113,0),5)</f>
        <v>46189.875</v>
      </c>
      <c r="C25" s="553">
        <f>INDEX(Matches!$B$4:$J$113,MATCH($F25,Matches!$B$4:$B$113,0),5)</f>
        <v>46189.875</v>
      </c>
      <c r="D25" s="554" t="str">
        <f>INDEX(Matches!$B$4:$J$113,MATCH($F25,Matches!$B$4:$B$113,0),8)</f>
        <v>Frankrijk</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c r="A26" s="4"/>
      <c r="B26" s="552">
        <f>INDEX(Matches!$B$4:$J$113,MATCH($F26,Matches!$B$4:$B$113,0),5)</f>
        <v>46190</v>
      </c>
      <c r="C26" s="553">
        <f>INDEX(Matches!$B$4:$J$113,MATCH($F26,Matches!$B$4:$B$113,0),5)</f>
        <v>46190</v>
      </c>
      <c r="D26" s="554" t="str">
        <f>INDEX(Matches!$B$4:$J$113,MATCH($F26,Matches!$B$4:$B$113,0),8)</f>
        <v>Irak</v>
      </c>
      <c r="E26" s="554" t="str">
        <f>INDEX(Matches!$B$4:$J$113,MATCH($F26,Matches!$B$4:$B$113,0),9)</f>
        <v>Noorwegen</v>
      </c>
      <c r="F26" s="557">
        <v>18</v>
      </c>
      <c r="G26" s="556" t="str">
        <f>INDEX(Matches!$B$4:$J$113,MATCH($F26,Matches!$B$4:$B$113,0),2)</f>
        <v>I3</v>
      </c>
      <c r="H26" s="556" t="str">
        <f>INDEX(Matches!$B$4:$J$113,MATCH($F26,Matches!$B$4:$B$113,0),3)</f>
        <v>I4</v>
      </c>
      <c r="I26" s="556" t="str">
        <f>IFERROR(VLOOKUP($F26,Matches!$B$4:$H$113,7,0),"")</f>
        <v>Boston</v>
      </c>
      <c r="J26" s="809"/>
      <c r="K26" s="810"/>
    </row>
    <row r="27" spans="1:11">
      <c r="A27" s="4"/>
      <c r="B27" s="558"/>
      <c r="C27" s="559"/>
      <c r="D27" s="560"/>
      <c r="E27" s="560"/>
      <c r="F27" s="561"/>
      <c r="G27" s="562"/>
      <c r="H27" s="562"/>
      <c r="I27" s="562"/>
      <c r="J27" s="562"/>
      <c r="K27" s="563"/>
    </row>
    <row r="28" spans="1:11">
      <c r="A28" s="4"/>
      <c r="B28" s="552">
        <f>INDEX(Matches!$B$4:$J$113,MATCH($F28,Matches!$B$4:$B$113,0),5)</f>
        <v>46191.041666666664</v>
      </c>
      <c r="C28" s="553">
        <f>INDEX(Matches!$B$4:$J$113,MATCH($F28,Matches!$B$4:$B$113,0),5)</f>
        <v>46191.041666666664</v>
      </c>
      <c r="D28" s="554" t="str">
        <f>INDEX(Matches!$B$4:$J$113,MATCH($F28,Matches!$B$4:$B$113,0),8)</f>
        <v>Ghana</v>
      </c>
      <c r="E28" s="554" t="str">
        <f>INDEX(Matches!$B$4:$J$113,MATCH($F28,Matches!$B$4:$B$113,0),9)</f>
        <v>Panama</v>
      </c>
      <c r="F28" s="557">
        <v>21</v>
      </c>
      <c r="G28" s="556" t="str">
        <f>INDEX(Matches!$B$4:$J$113,MATCH($F28,Matches!$B$4:$B$113,0),2)</f>
        <v>L3</v>
      </c>
      <c r="H28" s="556" t="str">
        <f>INDEX(Matches!$B$4:$J$113,MATCH($F28,Matches!$B$4:$B$113,0),3)</f>
        <v>L4</v>
      </c>
      <c r="I28" s="556" t="str">
        <f>IFERROR(VLOOKUP($F28,Matches!$B$4:$H$113,7,0),"")</f>
        <v>Toronto</v>
      </c>
      <c r="J28" s="809"/>
      <c r="K28" s="810"/>
    </row>
    <row r="29" spans="1:11">
      <c r="A29" s="4"/>
      <c r="B29" s="552">
        <f>INDEX(Matches!$B$4:$J$113,MATCH($F29,Matches!$B$4:$B$113,0),5)</f>
        <v>46190.25</v>
      </c>
      <c r="C29" s="553">
        <f>INDEX(Matches!$B$4:$J$113,MATCH($F29,Matches!$B$4:$B$113,0),5)</f>
        <v>46190.25</v>
      </c>
      <c r="D29" s="554" t="str">
        <f>INDEX(Matches!$B$4:$J$113,MATCH($F29,Matches!$B$4:$B$113,0),8)</f>
        <v>Oostenrijk</v>
      </c>
      <c r="E29" s="554" t="str">
        <f>INDEX(Matches!$B$4:$J$113,MATCH($F29,Matches!$B$4:$B$113,0),9)</f>
        <v>Jordanië</v>
      </c>
      <c r="F29" s="557">
        <v>20</v>
      </c>
      <c r="G29" s="556" t="str">
        <f>INDEX(Matches!$B$4:$J$113,MATCH($F29,Matches!$B$4:$B$113,0),2)</f>
        <v>J3</v>
      </c>
      <c r="H29" s="556" t="str">
        <f>INDEX(Matches!$B$4:$J$113,MATCH($F29,Matches!$B$4:$B$113,0),3)</f>
        <v>J4</v>
      </c>
      <c r="I29" s="556" t="str">
        <f>IFERROR(VLOOKUP($F29,Matches!$B$4:$H$113,7,0),"")</f>
        <v>San Francisco Bay Area</v>
      </c>
      <c r="J29" s="809"/>
      <c r="K29" s="810"/>
    </row>
    <row r="30" spans="1:11">
      <c r="A30" s="4"/>
      <c r="B30" s="552">
        <f>INDEX(Matches!$B$4:$J$113,MATCH($F30,Matches!$B$4:$B$113,0),5)</f>
        <v>46190.125</v>
      </c>
      <c r="C30" s="553">
        <f>INDEX(Matches!$B$4:$J$113,MATCH($F30,Matches!$B$4:$B$113,0),5)</f>
        <v>46190.125</v>
      </c>
      <c r="D30" s="554" t="str">
        <f>INDEX(Matches!$B$4:$J$113,MATCH($F30,Matches!$B$4:$B$113,0),8)</f>
        <v>Argentinië</v>
      </c>
      <c r="E30" s="554" t="str">
        <f>INDEX(Matches!$B$4:$J$113,MATCH($F30,Matches!$B$4:$B$113,0),9)</f>
        <v>Algerije</v>
      </c>
      <c r="F30" s="557">
        <v>19</v>
      </c>
      <c r="G30" s="556" t="str">
        <f>INDEX(Matches!$B$4:$J$113,MATCH($F30,Matches!$B$4:$B$113,0),2)</f>
        <v>J1</v>
      </c>
      <c r="H30" s="556" t="str">
        <f>INDEX(Matches!$B$4:$J$113,MATCH($F30,Matches!$B$4:$B$113,0),3)</f>
        <v>J2</v>
      </c>
      <c r="I30" s="556" t="str">
        <f>IFERROR(VLOOKUP($F30,Matches!$B$4:$H$113,7,0),"")</f>
        <v>Kansas City</v>
      </c>
      <c r="J30" s="809"/>
      <c r="K30" s="810"/>
    </row>
    <row r="31" spans="1:11">
      <c r="A31" s="4"/>
      <c r="B31" s="558"/>
      <c r="C31" s="559"/>
      <c r="D31" s="560"/>
      <c r="E31" s="560"/>
      <c r="F31" s="561"/>
      <c r="G31" s="562"/>
      <c r="H31" s="562"/>
      <c r="I31" s="562"/>
      <c r="J31" s="562"/>
      <c r="K31" s="563"/>
    </row>
    <row r="32" spans="1:11">
      <c r="A32" s="4"/>
      <c r="B32" s="552">
        <f>INDEX(Matches!$B$4:$J$113,MATCH($F32,Matches!$B$4:$B$113,0),5)</f>
        <v>46190.791666666664</v>
      </c>
      <c r="C32" s="553">
        <f>INDEX(Matches!$B$4:$J$113,MATCH($F32,Matches!$B$4:$B$113,0),5)</f>
        <v>46190.791666666664</v>
      </c>
      <c r="D32" s="554" t="str">
        <f>INDEX(Matches!$B$4:$J$113,MATCH($F32,Matches!$B$4:$B$113,0),8)</f>
        <v>Portugal</v>
      </c>
      <c r="E32" s="554" t="str">
        <f>INDEX(Matches!$B$4:$J$113,MATCH($F32,Matches!$B$4:$B$113,0),9)</f>
        <v>Congo</v>
      </c>
      <c r="F32" s="557">
        <v>23</v>
      </c>
      <c r="G32" s="556" t="str">
        <f>INDEX(Matches!$B$4:$J$113,MATCH($F32,Matches!$B$4:$B$113,0),2)</f>
        <v>K1</v>
      </c>
      <c r="H32" s="556" t="str">
        <f>INDEX(Matches!$B$4:$J$113,MATCH($F32,Matches!$B$4:$B$113,0),3)</f>
        <v>K2</v>
      </c>
      <c r="I32" s="556" t="str">
        <f>IFERROR(VLOOKUP($F32,Matches!$B$4:$H$113,7,0),"")</f>
        <v>Houston</v>
      </c>
      <c r="J32" s="809"/>
      <c r="K32" s="810"/>
    </row>
    <row r="33" spans="1:11">
      <c r="A33" s="4"/>
      <c r="B33" s="552">
        <f>INDEX(Matches!$B$4:$J$113,MATCH($F33,Matches!$B$4:$B$113,0),5)</f>
        <v>46191.166666666664</v>
      </c>
      <c r="C33" s="553">
        <f>INDEX(Matches!$B$4:$J$113,MATCH($F33,Matches!$B$4:$B$113,0),5)</f>
        <v>46191.166666666664</v>
      </c>
      <c r="D33" s="554" t="str">
        <f>INDEX(Matches!$B$4:$J$113,MATCH($F33,Matches!$B$4:$B$113,0),8)</f>
        <v>Oezbekistan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c r="A34" s="4"/>
      <c r="B34" s="552">
        <f>INDEX(Matches!$B$4:$J$113,MATCH($F34,Matches!$B$4:$B$113,0),5)</f>
        <v>46190.916666666664</v>
      </c>
      <c r="C34" s="553">
        <f>INDEX(Matches!$B$4:$J$113,MATCH($F34,Matches!$B$4:$B$113,0),5)</f>
        <v>46190.916666666664</v>
      </c>
      <c r="D34" s="554" t="str">
        <f>INDEX(Matches!$B$4:$J$113,MATCH($F34,Matches!$B$4:$B$113,0),8)</f>
        <v>Engeland</v>
      </c>
      <c r="E34" s="554" t="str">
        <f>INDEX(Matches!$B$4:$J$113,MATCH($F34,Matches!$B$4:$B$113,0),9)</f>
        <v>Kroatië</v>
      </c>
      <c r="F34" s="557">
        <v>22</v>
      </c>
      <c r="G34" s="556" t="str">
        <f>INDEX(Matches!$B$4:$J$113,MATCH($F34,Matches!$B$4:$B$113,0),2)</f>
        <v>L1</v>
      </c>
      <c r="H34" s="556" t="str">
        <f>INDEX(Matches!$B$4:$J$113,MATCH($F34,Matches!$B$4:$B$113,0),3)</f>
        <v>L2</v>
      </c>
      <c r="I34" s="556" t="str">
        <f>IFERROR(VLOOKUP($F34,Matches!$B$4:$H$113,7,0),"")</f>
        <v>Dallas</v>
      </c>
      <c r="J34" s="809"/>
      <c r="K34" s="810"/>
    </row>
    <row r="35" spans="1:11">
      <c r="A35" s="4"/>
      <c r="B35" s="558"/>
      <c r="C35" s="559"/>
      <c r="D35" s="560"/>
      <c r="E35" s="560"/>
      <c r="F35" s="561"/>
      <c r="G35" s="562"/>
      <c r="H35" s="562"/>
      <c r="I35" s="562"/>
      <c r="J35" s="562"/>
      <c r="K35" s="563"/>
    </row>
    <row r="36" spans="1:11">
      <c r="A36" s="4"/>
      <c r="B36" s="552">
        <f>INDEX(Matches!$B$4:$J$113,MATCH($F36,Matches!$B$4:$B$113,0),5)</f>
        <v>46192</v>
      </c>
      <c r="C36" s="553">
        <f>INDEX(Matches!$B$4:$J$113,MATCH($F36,Matches!$B$4:$B$113,0),5)</f>
        <v>46192</v>
      </c>
      <c r="D36" s="554" t="str">
        <f>INDEX(Matches!$B$4:$J$113,MATCH($F36,Matches!$B$4:$B$113,0),8)</f>
        <v>Canada</v>
      </c>
      <c r="E36" s="554" t="str">
        <f>INDEX(Matches!$B$4:$J$113,MATCH($F36,Matches!$B$4:$B$113,0),9)</f>
        <v>Qatar</v>
      </c>
      <c r="F36" s="557">
        <v>27</v>
      </c>
      <c r="G36" s="556" t="str">
        <f>INDEX(Matches!$B$4:$J$113,MATCH($F36,Matches!$B$4:$B$113,0),2)</f>
        <v>B1</v>
      </c>
      <c r="H36" s="556" t="str">
        <f>INDEX(Matches!$B$4:$J$113,MATCH($F36,Matches!$B$4:$B$113,0),3)</f>
        <v>B3</v>
      </c>
      <c r="I36" s="556" t="str">
        <f>IFERROR(VLOOKUP($F36,Matches!$B$4:$H$113,7,0),"")</f>
        <v>Vancouver</v>
      </c>
      <c r="J36" s="809"/>
      <c r="K36" s="810"/>
    </row>
    <row r="37" spans="1:11">
      <c r="A37" s="4"/>
      <c r="B37" s="552">
        <f>INDEX(Matches!$B$4:$J$113,MATCH($F37,Matches!$B$4:$B$113,0),5)</f>
        <v>46191.75</v>
      </c>
      <c r="C37" s="553">
        <f>INDEX(Matches!$B$4:$J$113,MATCH($F37,Matches!$B$4:$B$113,0),5)</f>
        <v>46191.75</v>
      </c>
      <c r="D37" s="554" t="str">
        <f>INDEX(Matches!$B$4:$J$113,MATCH($F37,Matches!$B$4:$B$113,0),8)</f>
        <v>Tsjechië</v>
      </c>
      <c r="E37" s="554" t="str">
        <f>INDEX(Matches!$B$4:$J$113,MATCH($F37,Matches!$B$4:$B$113,0),9)</f>
        <v>Zuid-Afrika</v>
      </c>
      <c r="F37" s="557">
        <v>25</v>
      </c>
      <c r="G37" s="556" t="str">
        <f>INDEX(Matches!$B$4:$J$113,MATCH($F37,Matches!$B$4:$B$113,0),2)</f>
        <v>A4</v>
      </c>
      <c r="H37" s="556" t="str">
        <f>INDEX(Matches!$B$4:$J$113,MATCH($F37,Matches!$B$4:$B$113,0),3)</f>
        <v>A2</v>
      </c>
      <c r="I37" s="556" t="str">
        <f>IFERROR(VLOOKUP($F37,Matches!$B$4:$H$113,7,0),"")</f>
        <v>Atlanta</v>
      </c>
      <c r="J37" s="809"/>
      <c r="K37" s="810"/>
    </row>
    <row r="38" spans="1:11">
      <c r="A38" s="4"/>
      <c r="B38" s="552">
        <f>INDEX(Matches!$B$4:$J$113,MATCH($F38,Matches!$B$4:$B$113,0),5)</f>
        <v>46191.875</v>
      </c>
      <c r="C38" s="553">
        <f>INDEX(Matches!$B$4:$J$113,MATCH($F38,Matches!$B$4:$B$113,0),5)</f>
        <v>46191.875</v>
      </c>
      <c r="D38" s="554" t="str">
        <f>INDEX(Matches!$B$4:$J$113,MATCH($F38,Matches!$B$4:$B$113,0),8)</f>
        <v>Zwitserland</v>
      </c>
      <c r="E38" s="554" t="str">
        <f>INDEX(Matches!$B$4:$J$113,MATCH($F38,Matches!$B$4:$B$113,0),9)</f>
        <v>Bosnië/Herz.</v>
      </c>
      <c r="F38" s="557">
        <v>26</v>
      </c>
      <c r="G38" s="556" t="str">
        <f>INDEX(Matches!$B$4:$J$113,MATCH($F38,Matches!$B$4:$B$113,0),2)</f>
        <v>B4</v>
      </c>
      <c r="H38" s="556" t="str">
        <f>INDEX(Matches!$B$4:$J$113,MATCH($F38,Matches!$B$4:$B$113,0),3)</f>
        <v>B2</v>
      </c>
      <c r="I38" s="556" t="str">
        <f>IFERROR(VLOOKUP($F38,Matches!$B$4:$H$113,7,0),"")</f>
        <v>Los Angeles</v>
      </c>
      <c r="J38" s="809"/>
      <c r="K38" s="810"/>
    </row>
    <row r="39" spans="1:11">
      <c r="A39" s="4"/>
      <c r="B39" s="558"/>
      <c r="C39" s="559"/>
      <c r="D39" s="560"/>
      <c r="E39" s="560"/>
      <c r="F39" s="561"/>
      <c r="G39" s="562"/>
      <c r="H39" s="562"/>
      <c r="I39" s="562"/>
      <c r="J39" s="562"/>
      <c r="K39" s="563"/>
    </row>
    <row r="40" spans="1:11">
      <c r="A40" s="4"/>
      <c r="B40" s="552">
        <f>INDEX(Matches!$B$4:$J$113,MATCH($F40,Matches!$B$4:$B$113,0),5)</f>
        <v>46193</v>
      </c>
      <c r="C40" s="553">
        <f>INDEX(Matches!$B$4:$J$113,MATCH($F40,Matches!$B$4:$B$113,0),5)</f>
        <v>46193</v>
      </c>
      <c r="D40" s="554" t="str">
        <f>INDEX(Matches!$B$4:$J$113,MATCH($F40,Matches!$B$4:$B$113,0),8)</f>
        <v>Schotland</v>
      </c>
      <c r="E40" s="554" t="str">
        <f>INDEX(Matches!$B$4:$J$113,MATCH($F40,Matches!$B$4:$B$113,0),9)</f>
        <v>Marokko</v>
      </c>
      <c r="F40" s="557">
        <v>30</v>
      </c>
      <c r="G40" s="556" t="str">
        <f>INDEX(Matches!$B$4:$J$113,MATCH($F40,Matches!$B$4:$B$113,0),2)</f>
        <v>C4</v>
      </c>
      <c r="H40" s="556" t="str">
        <f>INDEX(Matches!$B$4:$J$113,MATCH($F40,Matches!$B$4:$B$113,0),3)</f>
        <v>C2</v>
      </c>
      <c r="I40" s="556" t="str">
        <f>IFERROR(VLOOKUP($F40,Matches!$B$4:$H$113,7,0),"")</f>
        <v>Boston</v>
      </c>
      <c r="J40" s="809"/>
      <c r="K40" s="810"/>
    </row>
    <row r="41" spans="1:11">
      <c r="A41" s="4"/>
      <c r="B41" s="552">
        <f>INDEX(Matches!$B$4:$J$113,MATCH($F41,Matches!$B$4:$B$113,0),5)</f>
        <v>46192.125</v>
      </c>
      <c r="C41" s="553">
        <f>INDEX(Matches!$B$4:$J$113,MATCH($F41,Matches!$B$4:$B$113,0),5)</f>
        <v>46192.125</v>
      </c>
      <c r="D41" s="554" t="str">
        <f>INDEX(Matches!$B$4:$J$113,MATCH($F41,Matches!$B$4:$B$113,0),8)</f>
        <v>Mexico</v>
      </c>
      <c r="E41" s="554" t="str">
        <f>INDEX(Matches!$B$4:$J$113,MATCH($F41,Matches!$B$4:$B$113,0),9)</f>
        <v>Zuid-Korea</v>
      </c>
      <c r="F41" s="557">
        <v>28</v>
      </c>
      <c r="G41" s="556" t="str">
        <f>INDEX(Matches!$B$4:$J$113,MATCH($F41,Matches!$B$4:$B$113,0),2)</f>
        <v>A1</v>
      </c>
      <c r="H41" s="556" t="str">
        <f>INDEX(Matches!$B$4:$J$113,MATCH($F41,Matches!$B$4:$B$113,0),3)</f>
        <v>A3</v>
      </c>
      <c r="I41" s="556" t="str">
        <f>IFERROR(VLOOKUP($F41,Matches!$B$4:$H$113,7,0),"")</f>
        <v>Guadalajara</v>
      </c>
      <c r="J41" s="809"/>
      <c r="K41" s="810"/>
    </row>
    <row r="42" spans="1:11">
      <c r="A42" s="4"/>
      <c r="B42" s="552">
        <f>INDEX(Matches!$B$4:$J$113,MATCH($F42,Matches!$B$4:$B$113,0),5)</f>
        <v>46193.125</v>
      </c>
      <c r="C42" s="553">
        <f>INDEX(Matches!$B$4:$J$113,MATCH($F42,Matches!$B$4:$B$113,0),5)</f>
        <v>46193.125</v>
      </c>
      <c r="D42" s="554" t="str">
        <f>INDEX(Matches!$B$4:$J$113,MATCH($F42,Matches!$B$4:$B$113,0),8)</f>
        <v>Brazilië</v>
      </c>
      <c r="E42" s="554" t="str">
        <f>INDEX(Matches!$B$4:$J$113,MATCH($F42,Matches!$B$4:$B$113,0),9)</f>
        <v>Haïti</v>
      </c>
      <c r="F42" s="557">
        <v>29</v>
      </c>
      <c r="G42" s="556" t="str">
        <f>INDEX(Matches!$B$4:$J$113,MATCH($F42,Matches!$B$4:$B$113,0),2)</f>
        <v>C1</v>
      </c>
      <c r="H42" s="556" t="str">
        <f>INDEX(Matches!$B$4:$J$113,MATCH($F42,Matches!$B$4:$B$113,0),3)</f>
        <v>C3</v>
      </c>
      <c r="I42" s="556" t="str">
        <f>IFERROR(VLOOKUP($F42,Matches!$B$4:$H$113,7,0),"")</f>
        <v>Philadelphia</v>
      </c>
      <c r="J42" s="809"/>
      <c r="K42" s="810"/>
    </row>
    <row r="43" spans="1:11">
      <c r="A43" s="4"/>
      <c r="B43" s="558"/>
      <c r="C43" s="559"/>
      <c r="D43" s="560"/>
      <c r="E43" s="560"/>
      <c r="F43" s="561"/>
      <c r="G43" s="562"/>
      <c r="H43" s="562"/>
      <c r="I43" s="562"/>
      <c r="J43" s="562"/>
      <c r="K43" s="563"/>
    </row>
    <row r="44" spans="1:11">
      <c r="A44" s="4"/>
      <c r="B44" s="552">
        <f>INDEX(Matches!$B$4:$J$113,MATCH($F44,Matches!$B$4:$B$113,0),5)</f>
        <v>46192.875</v>
      </c>
      <c r="C44" s="553">
        <f>INDEX(Matches!$B$4:$J$113,MATCH($F44,Matches!$B$4:$B$113,0),5)</f>
        <v>46192.875</v>
      </c>
      <c r="D44" s="554" t="str">
        <f>INDEX(Matches!$B$4:$J$113,MATCH($F44,Matches!$B$4:$B$113,0),8)</f>
        <v>USA</v>
      </c>
      <c r="E44" s="554" t="str">
        <f>INDEX(Matches!$B$4:$J$113,MATCH($F44,Matches!$B$4:$B$113,0),9)</f>
        <v>Australië</v>
      </c>
      <c r="F44" s="557">
        <v>32</v>
      </c>
      <c r="G44" s="556" t="str">
        <f>INDEX(Matches!$B$4:$J$113,MATCH($F44,Matches!$B$4:$B$113,0),2)</f>
        <v>D1</v>
      </c>
      <c r="H44" s="556" t="str">
        <f>INDEX(Matches!$B$4:$J$113,MATCH($F44,Matches!$B$4:$B$113,0),3)</f>
        <v>D3</v>
      </c>
      <c r="I44" s="556" t="str">
        <f>IFERROR(VLOOKUP($F44,Matches!$B$4:$H$113,7,0),"")</f>
        <v>Seattle</v>
      </c>
      <c r="J44" s="809"/>
      <c r="K44" s="810"/>
    </row>
    <row r="45" spans="1:11">
      <c r="A45" s="4"/>
      <c r="B45" s="552">
        <f>INDEX(Matches!$B$4:$J$113,MATCH($F45,Matches!$B$4:$B$113,0),5)</f>
        <v>46193.916666666664</v>
      </c>
      <c r="C45" s="553">
        <f>INDEX(Matches!$B$4:$J$113,MATCH($F45,Matches!$B$4:$B$113,0),5)</f>
        <v>46193.916666666664</v>
      </c>
      <c r="D45" s="554" t="str">
        <f>INDEX(Matches!$B$4:$J$113,MATCH($F45,Matches!$B$4:$B$113,0),8)</f>
        <v>Duitsland</v>
      </c>
      <c r="E45" s="554" t="str">
        <f>INDEX(Matches!$B$4:$J$113,MATCH($F45,Matches!$B$4:$B$113,0),9)</f>
        <v>Ivoorkust</v>
      </c>
      <c r="F45" s="557">
        <v>33</v>
      </c>
      <c r="G45" s="556" t="str">
        <f>INDEX(Matches!$B$4:$J$113,MATCH($F45,Matches!$B$4:$B$113,0),2)</f>
        <v>E1</v>
      </c>
      <c r="H45" s="556" t="str">
        <f>INDEX(Matches!$B$4:$J$113,MATCH($F45,Matches!$B$4:$B$113,0),3)</f>
        <v>E3</v>
      </c>
      <c r="I45" s="556" t="str">
        <f>IFERROR(VLOOKUP($F45,Matches!$B$4:$H$113,7,0),"")</f>
        <v>Toronto</v>
      </c>
      <c r="J45" s="809"/>
      <c r="K45" s="810"/>
    </row>
    <row r="46" spans="1:11">
      <c r="A46" s="4"/>
      <c r="B46" s="552">
        <f>INDEX(Matches!$B$4:$J$113,MATCH($F46,Matches!$B$4:$B$113,0),5)</f>
        <v>46194.083333333336</v>
      </c>
      <c r="C46" s="553">
        <f>INDEX(Matches!$B$4:$J$113,MATCH($F46,Matches!$B$4:$B$113,0),5)</f>
        <v>46194.083333333336</v>
      </c>
      <c r="D46" s="554" t="str">
        <f>INDEX(Matches!$B$4:$J$113,MATCH($F46,Matches!$B$4:$B$113,0),8)</f>
        <v>Ecuador</v>
      </c>
      <c r="E46" s="554" t="str">
        <f>INDEX(Matches!$B$4:$J$113,MATCH($F46,Matches!$B$4:$B$113,0),9)</f>
        <v>Curacao</v>
      </c>
      <c r="F46" s="557">
        <v>34</v>
      </c>
      <c r="G46" s="556" t="str">
        <f>INDEX(Matches!$B$4:$J$113,MATCH($F46,Matches!$B$4:$B$113,0),2)</f>
        <v>E4</v>
      </c>
      <c r="H46" s="556" t="str">
        <f>INDEX(Matches!$B$4:$J$113,MATCH($F46,Matches!$B$4:$B$113,0),3)</f>
        <v>E2</v>
      </c>
      <c r="I46" s="556" t="str">
        <f>IFERROR(VLOOKUP($F46,Matches!$B$4:$H$113,7,0),"")</f>
        <v>Kansas City</v>
      </c>
      <c r="J46" s="809"/>
      <c r="K46" s="810"/>
    </row>
    <row r="47" spans="1:11">
      <c r="A47" s="4"/>
      <c r="B47" s="552">
        <f>INDEX(Matches!$B$4:$J$113,MATCH($F47,Matches!$B$4:$B$113,0),5)</f>
        <v>46193.25</v>
      </c>
      <c r="C47" s="553">
        <f>INDEX(Matches!$B$4:$J$113,MATCH($F47,Matches!$B$4:$B$113,0),5)</f>
        <v>46193.25</v>
      </c>
      <c r="D47" s="554" t="str">
        <f>INDEX(Matches!$B$4:$J$113,MATCH($F47,Matches!$B$4:$B$113,0),8)</f>
        <v>Turkije</v>
      </c>
      <c r="E47" s="554" t="str">
        <f>INDEX(Matches!$B$4:$J$113,MATCH($F47,Matches!$B$4:$B$113,0),9)</f>
        <v>Paraguay</v>
      </c>
      <c r="F47" s="557">
        <v>31</v>
      </c>
      <c r="G47" s="556" t="str">
        <f>INDEX(Matches!$B$4:$J$113,MATCH($F47,Matches!$B$4:$B$113,0),2)</f>
        <v>D4</v>
      </c>
      <c r="H47" s="556" t="str">
        <f>INDEX(Matches!$B$4:$J$113,MATCH($F47,Matches!$B$4:$B$113,0),3)</f>
        <v>D2</v>
      </c>
      <c r="I47" s="556" t="str">
        <f>IFERROR(VLOOKUP($F47,Matches!$B$4:$H$113,7,0),"")</f>
        <v>San Francisco Bay Area</v>
      </c>
      <c r="J47" s="809"/>
      <c r="K47" s="810"/>
    </row>
    <row r="48" spans="1:11">
      <c r="A48" s="4"/>
      <c r="B48" s="558"/>
      <c r="C48" s="559"/>
      <c r="D48" s="560"/>
      <c r="E48" s="560"/>
      <c r="F48" s="561"/>
      <c r="G48" s="562"/>
      <c r="H48" s="562"/>
      <c r="I48" s="562"/>
      <c r="J48" s="562"/>
      <c r="K48" s="563"/>
    </row>
    <row r="49" spans="1:11">
      <c r="A49" s="4"/>
      <c r="B49" s="552">
        <f>INDEX(Matches!$B$4:$J$113,MATCH($F49,Matches!$B$4:$B$113,0),5)</f>
        <v>46195</v>
      </c>
      <c r="C49" s="553">
        <f>INDEX(Matches!$B$4:$J$113,MATCH($F49,Matches!$B$4:$B$113,0),5)</f>
        <v>46195</v>
      </c>
      <c r="D49" s="554" t="str">
        <f>INDEX(Matches!$B$4:$J$113,MATCH($F49,Matches!$B$4:$B$113,0),8)</f>
        <v>Uruguay</v>
      </c>
      <c r="E49" s="554" t="str">
        <f>INDEX(Matches!$B$4:$J$113,MATCH($F49,Matches!$B$4:$B$113,0),9)</f>
        <v>Kaapverdië</v>
      </c>
      <c r="F49" s="557">
        <v>37</v>
      </c>
      <c r="G49" s="556" t="str">
        <f>INDEX(Matches!$B$4:$J$113,MATCH($F49,Matches!$B$4:$B$113,0),2)</f>
        <v>H4</v>
      </c>
      <c r="H49" s="556" t="str">
        <f>INDEX(Matches!$B$4:$J$113,MATCH($F49,Matches!$B$4:$B$113,0),3)</f>
        <v>H2</v>
      </c>
      <c r="I49" s="556" t="str">
        <f>IFERROR(VLOOKUP($F49,Matches!$B$4:$H$113,7,0),"")</f>
        <v>Miami</v>
      </c>
      <c r="J49" s="809"/>
      <c r="K49" s="810"/>
    </row>
    <row r="50" spans="1:11">
      <c r="A50" s="4"/>
      <c r="B50" s="552">
        <f>INDEX(Matches!$B$4:$J$113,MATCH($F50,Matches!$B$4:$B$113,0),5)</f>
        <v>46194.75</v>
      </c>
      <c r="C50" s="553">
        <f>INDEX(Matches!$B$4:$J$113,MATCH($F50,Matches!$B$4:$B$113,0),5)</f>
        <v>46194.75</v>
      </c>
      <c r="D50" s="554" t="str">
        <f>INDEX(Matches!$B$4:$J$113,MATCH($F50,Matches!$B$4:$B$113,0),8)</f>
        <v>Spanje</v>
      </c>
      <c r="E50" s="554" t="str">
        <f>INDEX(Matches!$B$4:$J$113,MATCH($F50,Matches!$B$4:$B$113,0),9)</f>
        <v>Saoedi-Arabië</v>
      </c>
      <c r="F50" s="557">
        <v>38</v>
      </c>
      <c r="G50" s="556" t="str">
        <f>INDEX(Matches!$B$4:$J$113,MATCH($F50,Matches!$B$4:$B$113,0),2)</f>
        <v>H1</v>
      </c>
      <c r="H50" s="556" t="str">
        <f>INDEX(Matches!$B$4:$J$113,MATCH($F50,Matches!$B$4:$B$113,0),3)</f>
        <v>H3</v>
      </c>
      <c r="I50" s="556" t="str">
        <f>IFERROR(VLOOKUP($F50,Matches!$B$4:$H$113,7,0),"")</f>
        <v>Atlanta</v>
      </c>
      <c r="J50" s="809"/>
      <c r="K50" s="810"/>
    </row>
    <row r="51" spans="1:11">
      <c r="A51" s="4"/>
      <c r="B51" s="552">
        <f>INDEX(Matches!$B$4:$J$113,MATCH($F51,Matches!$B$4:$B$113,0),5)</f>
        <v>46193.791666666664</v>
      </c>
      <c r="C51" s="553">
        <f>INDEX(Matches!$B$4:$J$113,MATCH($F51,Matches!$B$4:$B$113,0),5)</f>
        <v>46193.791666666664</v>
      </c>
      <c r="D51" s="554" t="str">
        <f>INDEX(Matches!$B$4:$J$113,MATCH($F51,Matches!$B$4:$B$113,0),8)</f>
        <v>Nederland</v>
      </c>
      <c r="E51" s="554" t="str">
        <f>INDEX(Matches!$B$4:$J$113,MATCH($F51,Matches!$B$4:$B$113,0),9)</f>
        <v>Zweden</v>
      </c>
      <c r="F51" s="557">
        <v>35</v>
      </c>
      <c r="G51" s="556" t="str">
        <f>INDEX(Matches!$B$4:$J$113,MATCH($F51,Matches!$B$4:$B$113,0),2)</f>
        <v>F1</v>
      </c>
      <c r="H51" s="556" t="str">
        <f>INDEX(Matches!$B$4:$J$113,MATCH($F51,Matches!$B$4:$B$113,0),3)</f>
        <v>F3</v>
      </c>
      <c r="I51" s="556" t="str">
        <f>IFERROR(VLOOKUP($F51,Matches!$B$4:$H$113,7,0),"")</f>
        <v>Houston</v>
      </c>
      <c r="J51" s="809"/>
      <c r="K51" s="810"/>
    </row>
    <row r="52" spans="1:11">
      <c r="A52" s="4"/>
      <c r="B52" s="552">
        <f>INDEX(Matches!$B$4:$J$113,MATCH($F52,Matches!$B$4:$B$113,0),5)</f>
        <v>46194.25</v>
      </c>
      <c r="C52" s="553">
        <f>INDEX(Matches!$B$4:$J$113,MATCH($F52,Matches!$B$4:$B$113,0),5)</f>
        <v>46194.25</v>
      </c>
      <c r="D52" s="554" t="str">
        <f>INDEX(Matches!$B$4:$J$113,MATCH($F52,Matches!$B$4:$B$113,0),8)</f>
        <v>Tunesië</v>
      </c>
      <c r="E52" s="554" t="str">
        <f>INDEX(Matches!$B$4:$J$113,MATCH($F52,Matches!$B$4:$B$113,0),9)</f>
        <v>Japan</v>
      </c>
      <c r="F52" s="557">
        <v>36</v>
      </c>
      <c r="G52" s="556" t="str">
        <f>INDEX(Matches!$B$4:$J$113,MATCH($F52,Matches!$B$4:$B$113,0),2)</f>
        <v>F4</v>
      </c>
      <c r="H52" s="556" t="str">
        <f>INDEX(Matches!$B$4:$J$113,MATCH($F52,Matches!$B$4:$B$113,0),3)</f>
        <v>F2</v>
      </c>
      <c r="I52" s="556" t="str">
        <f>IFERROR(VLOOKUP($F52,Matches!$B$4:$H$113,7,0),"")</f>
        <v>Monterrey</v>
      </c>
      <c r="J52" s="809"/>
      <c r="K52" s="810"/>
    </row>
    <row r="53" spans="1:11">
      <c r="A53" s="4"/>
      <c r="B53" s="558"/>
      <c r="C53" s="559"/>
      <c r="D53" s="560"/>
      <c r="E53" s="560"/>
      <c r="F53" s="561"/>
      <c r="G53" s="562"/>
      <c r="H53" s="562"/>
      <c r="I53" s="562"/>
      <c r="J53" s="562"/>
      <c r="K53" s="563"/>
    </row>
    <row r="54" spans="1:11">
      <c r="A54" s="4"/>
      <c r="B54" s="552">
        <f>INDEX(Matches!$B$4:$J$113,MATCH($F54,Matches!$B$4:$B$113,0),5)</f>
        <v>46196.083333333336</v>
      </c>
      <c r="C54" s="553">
        <f>INDEX(Matches!$B$4:$J$113,MATCH($F54,Matches!$B$4:$B$113,0),5)</f>
        <v>46196.083333333336</v>
      </c>
      <c r="D54" s="554" t="str">
        <f>INDEX(Matches!$B$4:$J$113,MATCH($F54,Matches!$B$4:$B$113,0),8)</f>
        <v>Noorwegen</v>
      </c>
      <c r="E54" s="554" t="str">
        <f>INDEX(Matches!$B$4:$J$113,MATCH($F54,Matches!$B$4:$B$113,0),9)</f>
        <v>Senegal</v>
      </c>
      <c r="F54" s="557">
        <v>41</v>
      </c>
      <c r="G54" s="556" t="str">
        <f>INDEX(Matches!$B$4:$J$113,MATCH($F54,Matches!$B$4:$B$113,0),2)</f>
        <v>I4</v>
      </c>
      <c r="H54" s="556" t="str">
        <f>INDEX(Matches!$B$4:$J$113,MATCH($F54,Matches!$B$4:$B$113,0),3)</f>
        <v>I2</v>
      </c>
      <c r="I54" s="556" t="str">
        <f>IFERROR(VLOOKUP($F54,Matches!$B$4:$H$113,7,0),"")</f>
        <v>New York/New Jersey</v>
      </c>
      <c r="J54" s="809"/>
      <c r="K54" s="810"/>
    </row>
    <row r="55" spans="1:11">
      <c r="A55" s="4"/>
      <c r="B55" s="552">
        <f>INDEX(Matches!$B$4:$J$113,MATCH($F55,Matches!$B$4:$B$113,0),5)</f>
        <v>46195.958333333336</v>
      </c>
      <c r="C55" s="553">
        <f>INDEX(Matches!$B$4:$J$113,MATCH($F55,Matches!$B$4:$B$113,0),5)</f>
        <v>46195.958333333336</v>
      </c>
      <c r="D55" s="554" t="str">
        <f>INDEX(Matches!$B$4:$J$113,MATCH($F55,Matches!$B$4:$B$113,0),8)</f>
        <v>Frankrijk</v>
      </c>
      <c r="E55" s="554" t="str">
        <f>INDEX(Matches!$B$4:$J$113,MATCH($F55,Matches!$B$4:$B$113,0),9)</f>
        <v>Irak</v>
      </c>
      <c r="F55" s="557">
        <v>42</v>
      </c>
      <c r="G55" s="556" t="str">
        <f>INDEX(Matches!$B$4:$J$113,MATCH($F55,Matches!$B$4:$B$113,0),2)</f>
        <v>I1</v>
      </c>
      <c r="H55" s="556" t="str">
        <f>INDEX(Matches!$B$4:$J$113,MATCH($F55,Matches!$B$4:$B$113,0),3)</f>
        <v>I3</v>
      </c>
      <c r="I55" s="556" t="str">
        <f>IFERROR(VLOOKUP($F55,Matches!$B$4:$H$113,7,0),"")</f>
        <v>Philadelphia</v>
      </c>
      <c r="J55" s="809"/>
      <c r="K55" s="810"/>
    </row>
    <row r="56" spans="1:11">
      <c r="A56" s="4"/>
      <c r="B56" s="552">
        <f>INDEX(Matches!$B$4:$J$113,MATCH($F56,Matches!$B$4:$B$113,0),5)</f>
        <v>46194.875</v>
      </c>
      <c r="C56" s="553">
        <f>INDEX(Matches!$B$4:$J$113,MATCH($F56,Matches!$B$4:$B$113,0),5)</f>
        <v>46194.875</v>
      </c>
      <c r="D56" s="554" t="str">
        <f>INDEX(Matches!$B$4:$J$113,MATCH($F56,Matches!$B$4:$B$113,0),8)</f>
        <v>België</v>
      </c>
      <c r="E56" s="554" t="str">
        <f>INDEX(Matches!$B$4:$J$113,MATCH($F56,Matches!$B$4:$B$113,0),9)</f>
        <v>Iran</v>
      </c>
      <c r="F56" s="557">
        <v>39</v>
      </c>
      <c r="G56" s="556" t="str">
        <f>INDEX(Matches!$B$4:$J$113,MATCH($F56,Matches!$B$4:$B$113,0),2)</f>
        <v>G1</v>
      </c>
      <c r="H56" s="556" t="str">
        <f>INDEX(Matches!$B$4:$J$113,MATCH($F56,Matches!$B$4:$B$113,0),3)</f>
        <v>G3</v>
      </c>
      <c r="I56" s="556" t="str">
        <f>IFERROR(VLOOKUP($F56,Matches!$B$4:$H$113,7,0),"")</f>
        <v>Los Angeles</v>
      </c>
      <c r="J56" s="809"/>
      <c r="K56" s="810"/>
    </row>
    <row r="57" spans="1:11">
      <c r="A57" s="4"/>
      <c r="B57" s="552">
        <f>INDEX(Matches!$B$4:$J$113,MATCH($F57,Matches!$B$4:$B$113,0),5)</f>
        <v>46195.125</v>
      </c>
      <c r="C57" s="553">
        <f>INDEX(Matches!$B$4:$J$113,MATCH($F57,Matches!$B$4:$B$113,0),5)</f>
        <v>46195.125</v>
      </c>
      <c r="D57" s="554" t="str">
        <f>INDEX(Matches!$B$4:$J$113,MATCH($F57,Matches!$B$4:$B$113,0),8)</f>
        <v>Nieuw-Zeeland</v>
      </c>
      <c r="E57" s="554" t="str">
        <f>INDEX(Matches!$B$4:$J$113,MATCH($F57,Matches!$B$4:$B$113,0),9)</f>
        <v>Egypte</v>
      </c>
      <c r="F57" s="557">
        <v>40</v>
      </c>
      <c r="G57" s="556" t="str">
        <f>INDEX(Matches!$B$4:$J$113,MATCH($F57,Matches!$B$4:$B$113,0),2)</f>
        <v>G4</v>
      </c>
      <c r="H57" s="556" t="str">
        <f>INDEX(Matches!$B$4:$J$113,MATCH($F57,Matches!$B$4:$B$113,0),3)</f>
        <v>G2</v>
      </c>
      <c r="I57" s="556" t="str">
        <f>IFERROR(VLOOKUP($F57,Matches!$B$4:$H$113,7,0),"")</f>
        <v>Vancouver</v>
      </c>
      <c r="J57" s="809"/>
      <c r="K57" s="810"/>
    </row>
    <row r="58" spans="1:11">
      <c r="A58" s="4"/>
      <c r="B58" s="558"/>
      <c r="C58" s="559"/>
      <c r="D58" s="560"/>
      <c r="E58" s="560"/>
      <c r="F58" s="561"/>
      <c r="G58" s="562"/>
      <c r="H58" s="562"/>
      <c r="I58" s="562"/>
      <c r="J58" s="562"/>
      <c r="K58" s="563"/>
    </row>
    <row r="59" spans="1:11">
      <c r="A59" s="4"/>
      <c r="B59" s="552">
        <f>INDEX(Matches!$B$4:$J$113,MATCH($F59,Matches!$B$4:$B$113,0),5)</f>
        <v>46196.916666666664</v>
      </c>
      <c r="C59" s="553">
        <f>INDEX(Matches!$B$4:$J$113,MATCH($F59,Matches!$B$4:$B$113,0),5)</f>
        <v>46196.916666666664</v>
      </c>
      <c r="D59" s="554" t="str">
        <f>INDEX(Matches!$B$4:$J$113,MATCH($F59,Matches!$B$4:$B$113,0),8)</f>
        <v>Engeland</v>
      </c>
      <c r="E59" s="554" t="str">
        <f>INDEX(Matches!$B$4:$J$113,MATCH($F59,Matches!$B$4:$B$113,0),9)</f>
        <v>Ghana</v>
      </c>
      <c r="F59" s="557">
        <v>45</v>
      </c>
      <c r="G59" s="556" t="str">
        <f>INDEX(Matches!$B$4:$J$113,MATCH($F59,Matches!$B$4:$B$113,0),2)</f>
        <v>L1</v>
      </c>
      <c r="H59" s="556" t="str">
        <f>INDEX(Matches!$B$4:$J$113,MATCH($F59,Matches!$B$4:$B$113,0),3)</f>
        <v>L3</v>
      </c>
      <c r="I59" s="556" t="str">
        <f>IFERROR(VLOOKUP($F59,Matches!$B$4:$H$113,7,0),"")</f>
        <v>Boston</v>
      </c>
      <c r="J59" s="809"/>
      <c r="K59" s="810"/>
    </row>
    <row r="60" spans="1:11">
      <c r="A60" s="4"/>
      <c r="B60" s="552">
        <f>INDEX(Matches!$B$4:$J$113,MATCH($F60,Matches!$B$4:$B$113,0),5)</f>
        <v>46197.041666666664</v>
      </c>
      <c r="C60" s="553">
        <f>INDEX(Matches!$B$4:$J$113,MATCH($F60,Matches!$B$4:$B$113,0),5)</f>
        <v>46197.041666666664</v>
      </c>
      <c r="D60" s="554" t="str">
        <f>INDEX(Matches!$B$4:$J$113,MATCH($F60,Matches!$B$4:$B$113,0),8)</f>
        <v>Panama</v>
      </c>
      <c r="E60" s="554" t="str">
        <f>INDEX(Matches!$B$4:$J$113,MATCH($F60,Matches!$B$4:$B$113,0),9)</f>
        <v>Kroatië</v>
      </c>
      <c r="F60" s="557">
        <v>46</v>
      </c>
      <c r="G60" s="556" t="str">
        <f>INDEX(Matches!$B$4:$J$113,MATCH($F60,Matches!$B$4:$B$113,0),2)</f>
        <v>L4</v>
      </c>
      <c r="H60" s="556" t="str">
        <f>INDEX(Matches!$B$4:$J$113,MATCH($F60,Matches!$B$4:$B$113,0),3)</f>
        <v>L2</v>
      </c>
      <c r="I60" s="556" t="str">
        <f>IFERROR(VLOOKUP($F60,Matches!$B$4:$H$113,7,0),"")</f>
        <v>Toronto</v>
      </c>
      <c r="J60" s="809"/>
      <c r="K60" s="810"/>
    </row>
    <row r="61" spans="1:11">
      <c r="A61" s="4"/>
      <c r="B61" s="552">
        <f>INDEX(Matches!$B$4:$J$113,MATCH($F61,Matches!$B$4:$B$113,0),5)</f>
        <v>46195.791666666664</v>
      </c>
      <c r="C61" s="553">
        <f>INDEX(Matches!$B$4:$J$113,MATCH($F61,Matches!$B$4:$B$113,0),5)</f>
        <v>46195.791666666664</v>
      </c>
      <c r="D61" s="554" t="str">
        <f>INDEX(Matches!$B$4:$J$113,MATCH($F61,Matches!$B$4:$B$113,0),8)</f>
        <v>Argentinië</v>
      </c>
      <c r="E61" s="554" t="str">
        <f>INDEX(Matches!$B$4:$J$113,MATCH($F61,Matches!$B$4:$B$113,0),9)</f>
        <v>Oostenrijk</v>
      </c>
      <c r="F61" s="557">
        <v>43</v>
      </c>
      <c r="G61" s="556" t="str">
        <f>INDEX(Matches!$B$4:$J$113,MATCH($F61,Matches!$B$4:$B$113,0),2)</f>
        <v>J1</v>
      </c>
      <c r="H61" s="556" t="str">
        <f>INDEX(Matches!$B$4:$J$113,MATCH($F61,Matches!$B$4:$B$113,0),3)</f>
        <v>J3</v>
      </c>
      <c r="I61" s="556" t="str">
        <f>IFERROR(VLOOKUP($F61,Matches!$B$4:$H$113,7,0),"")</f>
        <v>Dallas</v>
      </c>
      <c r="J61" s="809"/>
      <c r="K61" s="810"/>
    </row>
    <row r="62" spans="1:11">
      <c r="A62" s="4"/>
      <c r="B62" s="552">
        <f>INDEX(Matches!$B$4:$J$113,MATCH($F62,Matches!$B$4:$B$113,0),5)</f>
        <v>46196.208333333336</v>
      </c>
      <c r="C62" s="553">
        <f>INDEX(Matches!$B$4:$J$113,MATCH($F62,Matches!$B$4:$B$113,0),5)</f>
        <v>46196.208333333336</v>
      </c>
      <c r="D62" s="554" t="str">
        <f>INDEX(Matches!$B$4:$J$113,MATCH($F62,Matches!$B$4:$B$113,0),8)</f>
        <v>Jordanië</v>
      </c>
      <c r="E62" s="554" t="str">
        <f>INDEX(Matches!$B$4:$J$113,MATCH($F62,Matches!$B$4:$B$113,0),9)</f>
        <v>Algerije</v>
      </c>
      <c r="F62" s="557">
        <v>44</v>
      </c>
      <c r="G62" s="556" t="str">
        <f>INDEX(Matches!$B$4:$J$113,MATCH($F62,Matches!$B$4:$B$113,0),2)</f>
        <v>J4</v>
      </c>
      <c r="H62" s="556" t="str">
        <f>INDEX(Matches!$B$4:$J$113,MATCH($F62,Matches!$B$4:$B$113,0),3)</f>
        <v>J2</v>
      </c>
      <c r="I62" s="556" t="str">
        <f>IFERROR(VLOOKUP($F62,Matches!$B$4:$H$113,7,0),"")</f>
        <v>San Francisco Bay Area</v>
      </c>
      <c r="J62" s="809"/>
      <c r="K62" s="810"/>
    </row>
    <row r="63" spans="1:11">
      <c r="A63" s="4"/>
      <c r="B63" s="558"/>
      <c r="C63" s="559"/>
      <c r="D63" s="560"/>
      <c r="E63" s="560"/>
      <c r="F63" s="561"/>
      <c r="G63" s="562"/>
      <c r="H63" s="562"/>
      <c r="I63" s="562"/>
      <c r="J63" s="562"/>
      <c r="K63" s="563"/>
    </row>
    <row r="64" spans="1:11">
      <c r="A64" s="4"/>
      <c r="B64" s="552">
        <f>INDEX(Matches!$B$4:$J$113,MATCH($F64,Matches!$B$4:$B$113,0),5)</f>
        <v>46196.791666666664</v>
      </c>
      <c r="C64" s="553">
        <f>INDEX(Matches!$B$4:$J$113,MATCH($F64,Matches!$B$4:$B$113,0),5)</f>
        <v>46196.791666666664</v>
      </c>
      <c r="D64" s="554" t="str">
        <f>INDEX(Matches!$B$4:$J$113,MATCH($F64,Matches!$B$4:$B$113,0),8)</f>
        <v>Portugal</v>
      </c>
      <c r="E64" s="554" t="str">
        <f>INDEX(Matches!$B$4:$J$113,MATCH($F64,Matches!$B$4:$B$113,0),9)</f>
        <v>Oezbekistan</v>
      </c>
      <c r="F64" s="557">
        <v>47</v>
      </c>
      <c r="G64" s="556" t="str">
        <f>INDEX(Matches!$B$4:$J$113,MATCH($F64,Matches!$B$4:$B$113,0),2)</f>
        <v>K1</v>
      </c>
      <c r="H64" s="556" t="str">
        <f>INDEX(Matches!$B$4:$J$113,MATCH($F64,Matches!$B$4:$B$113,0),3)</f>
        <v>K3</v>
      </c>
      <c r="I64" s="556" t="str">
        <f>IFERROR(VLOOKUP($F64,Matches!$B$4:$H$113,7,0),"")</f>
        <v>Houston</v>
      </c>
      <c r="J64" s="809"/>
      <c r="K64" s="810"/>
    </row>
    <row r="65" spans="1:11">
      <c r="A65" s="4"/>
      <c r="B65" s="552">
        <f>INDEX(Matches!$B$4:$J$113,MATCH($F65,Matches!$B$4:$B$113,0),5)</f>
        <v>46197.166666666664</v>
      </c>
      <c r="C65" s="553">
        <f>INDEX(Matches!$B$4:$J$113,MATCH($F65,Matches!$B$4:$B$113,0),5)</f>
        <v>46197.166666666664</v>
      </c>
      <c r="D65" s="554" t="str">
        <f>INDEX(Matches!$B$4:$J$113,MATCH($F65,Matches!$B$4:$B$113,0),8)</f>
        <v>Colombia</v>
      </c>
      <c r="E65" s="554" t="str">
        <f>INDEX(Matches!$B$4:$J$113,MATCH($F65,Matches!$B$4:$B$113,0),9)</f>
        <v>Congo</v>
      </c>
      <c r="F65" s="557">
        <v>48</v>
      </c>
      <c r="G65" s="556" t="str">
        <f>INDEX(Matches!$B$4:$J$113,MATCH($F65,Matches!$B$4:$B$113,0),2)</f>
        <v>K4</v>
      </c>
      <c r="H65" s="556" t="str">
        <f>INDEX(Matches!$B$4:$J$113,MATCH($F65,Matches!$B$4:$B$113,0),3)</f>
        <v>K2</v>
      </c>
      <c r="I65" s="556" t="str">
        <f>IFERROR(VLOOKUP($F65,Matches!$B$4:$H$113,7,0),"")</f>
        <v>Guadalajara</v>
      </c>
      <c r="J65" s="809"/>
      <c r="K65" s="810"/>
    </row>
    <row r="66" spans="1:11">
      <c r="A66" s="572"/>
      <c r="B66" s="558"/>
      <c r="C66" s="559"/>
      <c r="D66" s="560"/>
      <c r="E66" s="560"/>
      <c r="F66" s="561"/>
      <c r="G66" s="562"/>
      <c r="H66" s="562"/>
      <c r="I66" s="562"/>
      <c r="J66" s="562"/>
      <c r="K66" s="563"/>
    </row>
    <row r="67" spans="1:11">
      <c r="A67" s="4"/>
      <c r="B67" s="552">
        <f>INDEX(Matches!$B$4:$J$113,MATCH($F67,Matches!$B$4:$B$113,0),5)</f>
        <v>46198</v>
      </c>
      <c r="C67" s="553">
        <f>INDEX(Matches!$B$4:$J$113,MATCH($F67,Matches!$B$4:$B$113,0),5)</f>
        <v>46198</v>
      </c>
      <c r="D67" s="554" t="str">
        <f>INDEX(Matches!$B$4:$J$113,MATCH($F67,Matches!$B$4:$B$113,0),8)</f>
        <v>Schotland</v>
      </c>
      <c r="E67" s="554" t="str">
        <f>INDEX(Matches!$B$4:$J$113,MATCH($F67,Matches!$B$4:$B$113,0),9)</f>
        <v>Brazilië</v>
      </c>
      <c r="F67" s="557">
        <v>49</v>
      </c>
      <c r="G67" s="556" t="str">
        <f>INDEX(Matches!$B$4:$J$113,MATCH($F67,Matches!$B$4:$B$113,0),2)</f>
        <v>C4</v>
      </c>
      <c r="H67" s="556" t="str">
        <f>INDEX(Matches!$B$4:$J$113,MATCH($F67,Matches!$B$4:$B$113,0),3)</f>
        <v>C1</v>
      </c>
      <c r="I67" s="556" t="str">
        <f>IFERROR(VLOOKUP($F67,Matches!$B$4:$H$113,7,0),"")</f>
        <v>Miami</v>
      </c>
      <c r="J67" s="809"/>
      <c r="K67" s="810"/>
    </row>
    <row r="68" spans="1:11">
      <c r="A68" s="4"/>
      <c r="B68" s="552">
        <f>INDEX(Matches!$B$4:$J$113,MATCH($F68,Matches!$B$4:$B$113,0),5)</f>
        <v>46198</v>
      </c>
      <c r="C68" s="553">
        <f>INDEX(Matches!$B$4:$J$113,MATCH($F68,Matches!$B$4:$B$113,0),5)</f>
        <v>46198</v>
      </c>
      <c r="D68" s="554" t="str">
        <f>INDEX(Matches!$B$4:$J$113,MATCH($F68,Matches!$B$4:$B$113,0),8)</f>
        <v>Marokko</v>
      </c>
      <c r="E68" s="554" t="str">
        <f>INDEX(Matches!$B$4:$J$113,MATCH($F68,Matches!$B$4:$B$113,0),9)</f>
        <v>Haïti</v>
      </c>
      <c r="F68" s="557">
        <v>50</v>
      </c>
      <c r="G68" s="556" t="str">
        <f>INDEX(Matches!$B$4:$J$113,MATCH($F68,Matches!$B$4:$B$113,0),2)</f>
        <v>C2</v>
      </c>
      <c r="H68" s="556" t="str">
        <f>INDEX(Matches!$B$4:$J$113,MATCH($F68,Matches!$B$4:$B$113,0),3)</f>
        <v>C3</v>
      </c>
      <c r="I68" s="556" t="str">
        <f>IFERROR(VLOOKUP($F68,Matches!$B$4:$H$113,7,0),"")</f>
        <v>Atlanta</v>
      </c>
      <c r="J68" s="809"/>
      <c r="K68" s="810"/>
    </row>
    <row r="69" spans="1:11">
      <c r="A69" s="4"/>
      <c r="B69" s="558"/>
      <c r="C69" s="559"/>
      <c r="D69" s="560"/>
      <c r="E69" s="560"/>
      <c r="F69" s="561"/>
      <c r="G69" s="562"/>
      <c r="H69" s="562"/>
      <c r="I69" s="562"/>
      <c r="J69" s="562"/>
      <c r="K69" s="563"/>
    </row>
    <row r="70" spans="1:11">
      <c r="A70" s="4"/>
      <c r="B70" s="552">
        <f>INDEX(Matches!$B$4:$J$113,MATCH($F70,Matches!$B$4:$B$113,0),5)</f>
        <v>46197.875</v>
      </c>
      <c r="C70" s="553">
        <f>INDEX(Matches!$B$4:$J$113,MATCH($F70,Matches!$B$4:$B$113,0),5)</f>
        <v>46197.875</v>
      </c>
      <c r="D70" s="554" t="str">
        <f>INDEX(Matches!$B$4:$J$113,MATCH($F70,Matches!$B$4:$B$113,0),8)</f>
        <v>Zwitserland</v>
      </c>
      <c r="E70" s="554" t="str">
        <f>INDEX(Matches!$B$4:$J$113,MATCH($F70,Matches!$B$4:$B$113,0),9)</f>
        <v>Canada</v>
      </c>
      <c r="F70" s="557">
        <v>51</v>
      </c>
      <c r="G70" s="556" t="str">
        <f>INDEX(Matches!$B$4:$J$113,MATCH($F70,Matches!$B$4:$B$113,0),2)</f>
        <v>B4</v>
      </c>
      <c r="H70" s="556" t="str">
        <f>INDEX(Matches!$B$4:$J$113,MATCH($F70,Matches!$B$4:$B$113,0),3)</f>
        <v>B1</v>
      </c>
      <c r="I70" s="556" t="str">
        <f>IFERROR(VLOOKUP($F70,Matches!$B$4:$H$113,7,0),"")</f>
        <v>Vancouver</v>
      </c>
      <c r="J70" s="809"/>
      <c r="K70" s="810"/>
    </row>
    <row r="71" spans="1:11">
      <c r="A71" s="4"/>
      <c r="B71" s="552">
        <f>INDEX(Matches!$B$4:$J$113,MATCH($F71,Matches!$B$4:$B$113,0),5)</f>
        <v>46197.875</v>
      </c>
      <c r="C71" s="553">
        <f>INDEX(Matches!$B$4:$J$113,MATCH($F71,Matches!$B$4:$B$113,0),5)</f>
        <v>46197.875</v>
      </c>
      <c r="D71" s="554" t="str">
        <f>INDEX(Matches!$B$4:$J$113,MATCH($F71,Matches!$B$4:$B$113,0),8)</f>
        <v>Bosnië/Herz.</v>
      </c>
      <c r="E71" s="554" t="str">
        <f>INDEX(Matches!$B$4:$J$113,MATCH($F71,Matches!$B$4:$B$113,0),9)</f>
        <v>Qatar</v>
      </c>
      <c r="F71" s="557">
        <v>52</v>
      </c>
      <c r="G71" s="556" t="str">
        <f>INDEX(Matches!$B$4:$J$113,MATCH($F71,Matches!$B$4:$B$113,0),2)</f>
        <v>B2</v>
      </c>
      <c r="H71" s="556" t="str">
        <f>INDEX(Matches!$B$4:$J$113,MATCH($F71,Matches!$B$4:$B$113,0),3)</f>
        <v>B3</v>
      </c>
      <c r="I71" s="556" t="str">
        <f>IFERROR(VLOOKUP($F71,Matches!$B$4:$H$113,7,0),"")</f>
        <v>Seattle</v>
      </c>
      <c r="J71" s="809"/>
      <c r="K71" s="810"/>
    </row>
    <row r="72" spans="1:11">
      <c r="A72" s="4"/>
      <c r="B72" s="558"/>
      <c r="C72" s="559"/>
      <c r="D72" s="560"/>
      <c r="E72" s="560"/>
      <c r="F72" s="561"/>
      <c r="G72" s="562"/>
      <c r="H72" s="562"/>
      <c r="I72" s="562"/>
      <c r="J72" s="562"/>
      <c r="K72" s="563"/>
    </row>
    <row r="73" spans="1:11">
      <c r="A73" s="4"/>
      <c r="B73" s="552">
        <f>INDEX(Matches!$B$4:$J$113,MATCH($F73,Matches!$B$4:$B$113,0),5)</f>
        <v>46198.125</v>
      </c>
      <c r="C73" s="553">
        <f>INDEX(Matches!$B$4:$J$113,MATCH($F73,Matches!$B$4:$B$113,0),5)</f>
        <v>46198.125</v>
      </c>
      <c r="D73" s="554" t="str">
        <f>INDEX(Matches!$B$4:$J$113,MATCH($F73,Matches!$B$4:$B$113,0),8)</f>
        <v>Zuid-Afrika</v>
      </c>
      <c r="E73" s="554" t="str">
        <f>INDEX(Matches!$B$4:$J$113,MATCH($F73,Matches!$B$4:$B$113,0),9)</f>
        <v>Zuid-Korea</v>
      </c>
      <c r="F73" s="557">
        <v>54</v>
      </c>
      <c r="G73" s="556" t="str">
        <f>INDEX(Matches!$B$4:$J$113,MATCH($F73,Matches!$B$4:$B$113,0),2)</f>
        <v>A2</v>
      </c>
      <c r="H73" s="556" t="str">
        <f>INDEX(Matches!$B$4:$J$113,MATCH($F73,Matches!$B$4:$B$113,0),3)</f>
        <v>A3</v>
      </c>
      <c r="I73" s="556" t="str">
        <f>IFERROR(VLOOKUP($F73,Matches!$B$4:$H$113,7,0),"")</f>
        <v>Monterrey</v>
      </c>
      <c r="J73" s="809"/>
      <c r="K73" s="810"/>
    </row>
    <row r="74" spans="1:11">
      <c r="A74" s="4"/>
      <c r="B74" s="552">
        <f>INDEX(Matches!$B$4:$J$113,MATCH($F74,Matches!$B$4:$B$113,0),5)</f>
        <v>46198.125</v>
      </c>
      <c r="C74" s="553">
        <f>INDEX(Matches!$B$4:$J$113,MATCH($F74,Matches!$B$4:$B$113,0),5)</f>
        <v>46198.125</v>
      </c>
      <c r="D74" s="554" t="str">
        <f>INDEX(Matches!$B$4:$J$113,MATCH($F74,Matches!$B$4:$B$113,0),8)</f>
        <v>Tsjechië</v>
      </c>
      <c r="E74" s="554" t="str">
        <f>INDEX(Matches!$B$4:$J$113,MATCH($F74,Matches!$B$4:$B$113,0),9)</f>
        <v>Mexico</v>
      </c>
      <c r="F74" s="557">
        <v>53</v>
      </c>
      <c r="G74" s="556" t="str">
        <f>INDEX(Matches!$B$4:$J$113,MATCH($F74,Matches!$B$4:$B$113,0),2)</f>
        <v>A4</v>
      </c>
      <c r="H74" s="556" t="str">
        <f>INDEX(Matches!$B$4:$J$113,MATCH($F74,Matches!$B$4:$B$113,0),3)</f>
        <v>A1</v>
      </c>
      <c r="I74" s="556" t="str">
        <f>IFERROR(VLOOKUP($F74,Matches!$B$4:$H$113,7,0),"")</f>
        <v>Mexico City</v>
      </c>
      <c r="J74" s="809"/>
      <c r="K74" s="810"/>
    </row>
    <row r="75" spans="1:11">
      <c r="A75" s="4"/>
      <c r="B75" s="558"/>
      <c r="C75" s="559"/>
      <c r="D75" s="560"/>
      <c r="E75" s="560"/>
      <c r="F75" s="561"/>
      <c r="G75" s="562"/>
      <c r="H75" s="562"/>
      <c r="I75" s="562"/>
      <c r="J75" s="562"/>
      <c r="K75" s="563"/>
    </row>
    <row r="76" spans="1:11">
      <c r="A76" s="4"/>
      <c r="B76" s="552">
        <f>INDEX(Matches!$B$4:$J$113,MATCH($F76,Matches!$B$4:$B$113,0),5)</f>
        <v>46198.916666666664</v>
      </c>
      <c r="C76" s="553">
        <f>INDEX(Matches!$B$4:$J$113,MATCH($F76,Matches!$B$4:$B$113,0),5)</f>
        <v>46198.916666666664</v>
      </c>
      <c r="D76" s="554" t="str">
        <f>INDEX(Matches!$B$4:$J$113,MATCH($F76,Matches!$B$4:$B$113,0),8)</f>
        <v>Ecuador</v>
      </c>
      <c r="E76" s="554" t="str">
        <f>INDEX(Matches!$B$4:$J$113,MATCH($F76,Matches!$B$4:$B$113,0),9)</f>
        <v>Duitsland</v>
      </c>
      <c r="F76" s="557">
        <v>56</v>
      </c>
      <c r="G76" s="556" t="str">
        <f>INDEX(Matches!$B$4:$J$113,MATCH($F76,Matches!$B$4:$B$113,0),2)</f>
        <v>E4</v>
      </c>
      <c r="H76" s="556" t="str">
        <f>INDEX(Matches!$B$4:$J$113,MATCH($F76,Matches!$B$4:$B$113,0),3)</f>
        <v>E1</v>
      </c>
      <c r="I76" s="556" t="str">
        <f>IFERROR(VLOOKUP($F76,Matches!$B$4:$H$113,7,0),"")</f>
        <v>New York/New Jersey</v>
      </c>
      <c r="J76" s="809"/>
      <c r="K76" s="810"/>
    </row>
    <row r="77" spans="1:11">
      <c r="A77" s="4"/>
      <c r="B77" s="552">
        <f>INDEX(Matches!$B$4:$J$113,MATCH($F77,Matches!$B$4:$B$113,0),5)</f>
        <v>46198.916666666664</v>
      </c>
      <c r="C77" s="553">
        <f>INDEX(Matches!$B$4:$J$113,MATCH($F77,Matches!$B$4:$B$113,0),5)</f>
        <v>46198.916666666664</v>
      </c>
      <c r="D77" s="554" t="str">
        <f>INDEX(Matches!$B$4:$J$113,MATCH($F77,Matches!$B$4:$B$113,0),8)</f>
        <v>Curacao</v>
      </c>
      <c r="E77" s="554" t="str">
        <f>INDEX(Matches!$B$4:$J$113,MATCH($F77,Matches!$B$4:$B$113,0),9)</f>
        <v>Ivoorkust</v>
      </c>
      <c r="F77" s="557">
        <v>55</v>
      </c>
      <c r="G77" s="556" t="str">
        <f>INDEX(Matches!$B$4:$J$113,MATCH($F77,Matches!$B$4:$B$113,0),2)</f>
        <v>E2</v>
      </c>
      <c r="H77" s="556" t="str">
        <f>INDEX(Matches!$B$4:$J$113,MATCH($F77,Matches!$B$4:$B$113,0),3)</f>
        <v>E3</v>
      </c>
      <c r="I77" s="556" t="str">
        <f>IFERROR(VLOOKUP($F77,Matches!$B$4:$H$113,7,0),"")</f>
        <v>Philadelphia</v>
      </c>
      <c r="J77" s="809"/>
      <c r="K77" s="810"/>
    </row>
    <row r="78" spans="1:11">
      <c r="A78" s="572"/>
      <c r="B78" s="558"/>
      <c r="C78" s="559"/>
      <c r="D78" s="560"/>
      <c r="E78" s="560"/>
      <c r="F78" s="561"/>
      <c r="G78" s="562"/>
      <c r="H78" s="562"/>
      <c r="I78" s="562"/>
      <c r="J78" s="562"/>
      <c r="K78" s="563"/>
    </row>
    <row r="79" spans="1:11">
      <c r="A79" s="572"/>
      <c r="B79" s="552">
        <f>INDEX(Matches!$B$4:$J$113,MATCH($F79,Matches!$B$4:$B$113,0),5)</f>
        <v>46199.041666666664</v>
      </c>
      <c r="C79" s="553">
        <f>INDEX(Matches!$B$4:$J$113,MATCH($F79,Matches!$B$4:$B$113,0),5)</f>
        <v>46199.041666666664</v>
      </c>
      <c r="D79" s="554" t="str">
        <f>INDEX(Matches!$B$4:$J$113,MATCH($F79,Matches!$B$4:$B$113,0),8)</f>
        <v>Japan</v>
      </c>
      <c r="E79" s="554" t="str">
        <f>INDEX(Matches!$B$4:$J$113,MATCH($F79,Matches!$B$4:$B$113,0),9)</f>
        <v>Zweden</v>
      </c>
      <c r="F79" s="557">
        <v>57</v>
      </c>
      <c r="G79" s="556" t="str">
        <f>INDEX(Matches!$B$4:$J$113,MATCH($F79,Matches!$B$4:$B$113,0),2)</f>
        <v>F2</v>
      </c>
      <c r="H79" s="556" t="str">
        <f>INDEX(Matches!$B$4:$J$113,MATCH($F79,Matches!$B$4:$B$113,0),3)</f>
        <v>F3</v>
      </c>
      <c r="I79" s="556" t="str">
        <f>IFERROR(VLOOKUP($F79,Matches!$B$4:$H$113,7,0),"")</f>
        <v>Dallas</v>
      </c>
      <c r="J79" s="809"/>
      <c r="K79" s="810"/>
    </row>
    <row r="80" spans="1:11">
      <c r="A80" s="572"/>
      <c r="B80" s="552">
        <f>INDEX(Matches!$B$4:$J$113,MATCH($F80,Matches!$B$4:$B$113,0),5)</f>
        <v>46199.041666666664</v>
      </c>
      <c r="C80" s="553">
        <f>INDEX(Matches!$B$4:$J$113,MATCH($F80,Matches!$B$4:$B$113,0),5)</f>
        <v>46199.041666666664</v>
      </c>
      <c r="D80" s="554" t="str">
        <f>INDEX(Matches!$B$4:$J$113,MATCH($F80,Matches!$B$4:$B$113,0),8)</f>
        <v>Tunesië</v>
      </c>
      <c r="E80" s="554" t="str">
        <f>INDEX(Matches!$B$4:$J$113,MATCH($F80,Matches!$B$4:$B$113,0),9)</f>
        <v>Nederland</v>
      </c>
      <c r="F80" s="557">
        <v>58</v>
      </c>
      <c r="G80" s="556" t="str">
        <f>INDEX(Matches!$B$4:$J$113,MATCH($F80,Matches!$B$4:$B$113,0),2)</f>
        <v>F4</v>
      </c>
      <c r="H80" s="556" t="str">
        <f>INDEX(Matches!$B$4:$J$113,MATCH($F80,Matches!$B$4:$B$113,0),3)</f>
        <v>F1</v>
      </c>
      <c r="I80" s="556" t="str">
        <f>IFERROR(VLOOKUP($F80,Matches!$B$4:$H$113,7,0),"")</f>
        <v>Kansas City</v>
      </c>
      <c r="J80" s="809"/>
      <c r="K80" s="810"/>
    </row>
    <row r="81" spans="1:11">
      <c r="A81" s="572"/>
      <c r="B81" s="552">
        <f>INDEX(Matches!$B$4:$J$113,MATCH($F81,Matches!$B$4:$B$113,0),5)</f>
        <v>46199.166666666664</v>
      </c>
      <c r="C81" s="553">
        <f>INDEX(Matches!$B$4:$J$113,MATCH($F81,Matches!$B$4:$B$113,0),5)</f>
        <v>46199.166666666664</v>
      </c>
      <c r="D81" s="554" t="str">
        <f>INDEX(Matches!$B$4:$J$113,MATCH($F81,Matches!$B$4:$B$113,0),8)</f>
        <v>Turkije</v>
      </c>
      <c r="E81" s="554" t="str">
        <f>INDEX(Matches!$B$4:$J$113,MATCH($F81,Matches!$B$4:$B$113,0),9)</f>
        <v>USA</v>
      </c>
      <c r="F81" s="557">
        <v>59</v>
      </c>
      <c r="G81" s="556" t="str">
        <f>INDEX(Matches!$B$4:$J$113,MATCH($F81,Matches!$B$4:$B$113,0),2)</f>
        <v>D4</v>
      </c>
      <c r="H81" s="556" t="str">
        <f>INDEX(Matches!$B$4:$J$113,MATCH($F81,Matches!$B$4:$B$113,0),3)</f>
        <v>D1</v>
      </c>
      <c r="I81" s="556" t="str">
        <f>IFERROR(VLOOKUP($F81,Matches!$B$4:$H$113,7,0),"")</f>
        <v>Los Angeles</v>
      </c>
      <c r="J81" s="809"/>
      <c r="K81" s="810"/>
    </row>
    <row r="82" spans="1:11">
      <c r="A82" s="572"/>
      <c r="B82" s="552">
        <f>INDEX(Matches!$B$4:$J$113,MATCH($F82,Matches!$B$4:$B$113,0),5)</f>
        <v>46199.166666666664</v>
      </c>
      <c r="C82" s="553">
        <f>INDEX(Matches!$B$4:$J$113,MATCH($F82,Matches!$B$4:$B$113,0),5)</f>
        <v>46199.166666666664</v>
      </c>
      <c r="D82" s="554" t="str">
        <f>INDEX(Matches!$B$4:$J$113,MATCH($F82,Matches!$B$4:$B$113,0),8)</f>
        <v>Paraguay</v>
      </c>
      <c r="E82" s="554" t="str">
        <f>INDEX(Matches!$B$4:$J$113,MATCH($F82,Matches!$B$4:$B$113,0),9)</f>
        <v>Australië</v>
      </c>
      <c r="F82" s="557">
        <v>60</v>
      </c>
      <c r="G82" s="556" t="str">
        <f>INDEX(Matches!$B$4:$J$113,MATCH($F82,Matches!$B$4:$B$113,0),2)</f>
        <v>D2</v>
      </c>
      <c r="H82" s="556" t="str">
        <f>INDEX(Matches!$B$4:$J$113,MATCH($F82,Matches!$B$4:$B$113,0),3)</f>
        <v>D3</v>
      </c>
      <c r="I82" s="556" t="str">
        <f>IFERROR(VLOOKUP($F82,Matches!$B$4:$H$113,7,0),"")</f>
        <v>San Francisco Bay Area</v>
      </c>
      <c r="J82" s="809"/>
      <c r="K82" s="810"/>
    </row>
    <row r="83" spans="1:11">
      <c r="A83" s="572"/>
      <c r="B83" s="558"/>
      <c r="C83" s="559"/>
      <c r="D83" s="560"/>
      <c r="E83" s="560"/>
      <c r="F83" s="561"/>
      <c r="G83" s="562"/>
      <c r="H83" s="562"/>
      <c r="I83" s="562"/>
      <c r="J83" s="562"/>
      <c r="K83" s="563"/>
    </row>
    <row r="84" spans="1:11">
      <c r="A84" s="572"/>
      <c r="B84" s="552">
        <f>INDEX(Matches!$B$4:$J$113,MATCH($F84,Matches!$B$4:$B$113,0),5)</f>
        <v>46199.875</v>
      </c>
      <c r="C84" s="553">
        <f>INDEX(Matches!$B$4:$J$113,MATCH($F84,Matches!$B$4:$B$113,0),5)</f>
        <v>46199.875</v>
      </c>
      <c r="D84" s="554" t="str">
        <f>INDEX(Matches!$B$4:$J$113,MATCH($F84,Matches!$B$4:$B$113,0),8)</f>
        <v>Noorwegen</v>
      </c>
      <c r="E84" s="554" t="str">
        <f>INDEX(Matches!$B$4:$J$113,MATCH($F84,Matches!$B$4:$B$113,0),9)</f>
        <v>Frankrijk</v>
      </c>
      <c r="F84" s="557">
        <v>61</v>
      </c>
      <c r="G84" s="556" t="str">
        <f>INDEX(Matches!$B$4:$J$113,MATCH($F84,Matches!$B$4:$B$113,0),2)</f>
        <v>I4</v>
      </c>
      <c r="H84" s="556" t="str">
        <f>INDEX(Matches!$B$4:$J$113,MATCH($F84,Matches!$B$4:$B$113,0),3)</f>
        <v>I1</v>
      </c>
      <c r="I84" s="556" t="str">
        <f>IFERROR(VLOOKUP($F84,Matches!$B$4:$H$113,7,0),"")</f>
        <v>Boston</v>
      </c>
      <c r="J84" s="809"/>
      <c r="K84" s="810"/>
    </row>
    <row r="85" spans="1:11">
      <c r="A85" s="572"/>
      <c r="B85" s="552">
        <f>INDEX(Matches!$B$4:$J$113,MATCH($F85,Matches!$B$4:$B$113,0),5)</f>
        <v>46199.875</v>
      </c>
      <c r="C85" s="553">
        <f>INDEX(Matches!$B$4:$J$113,MATCH($F85,Matches!$B$4:$B$113,0),5)</f>
        <v>46199.875</v>
      </c>
      <c r="D85" s="554" t="str">
        <f>INDEX(Matches!$B$4:$J$113,MATCH($F85,Matches!$B$4:$B$113,0),8)</f>
        <v>Senegal</v>
      </c>
      <c r="E85" s="554" t="str">
        <f>INDEX(Matches!$B$4:$J$113,MATCH($F85,Matches!$B$4:$B$113,0),9)</f>
        <v>Irak</v>
      </c>
      <c r="F85" s="557">
        <v>62</v>
      </c>
      <c r="G85" s="556" t="str">
        <f>INDEX(Matches!$B$4:$J$113,MATCH($F85,Matches!$B$4:$B$113,0),2)</f>
        <v>I2</v>
      </c>
      <c r="H85" s="556" t="str">
        <f>INDEX(Matches!$B$4:$J$113,MATCH($F85,Matches!$B$4:$B$113,0),3)</f>
        <v>I3</v>
      </c>
      <c r="I85" s="556" t="str">
        <f>IFERROR(VLOOKUP($F85,Matches!$B$4:$H$113,7,0),"")</f>
        <v>Toronto</v>
      </c>
      <c r="J85" s="809"/>
      <c r="K85" s="810"/>
    </row>
    <row r="86" spans="1:11">
      <c r="A86" s="572"/>
      <c r="B86" s="552">
        <f>INDEX(Matches!$B$4:$J$113,MATCH($F86,Matches!$B$4:$B$113,0),5)</f>
        <v>46200.208333333336</v>
      </c>
      <c r="C86" s="553">
        <f>INDEX(Matches!$B$4:$J$113,MATCH($F86,Matches!$B$4:$B$113,0),5)</f>
        <v>46200.208333333336</v>
      </c>
      <c r="D86" s="554" t="str">
        <f>INDEX(Matches!$B$4:$J$113,MATCH($F86,Matches!$B$4:$B$113,0),8)</f>
        <v>Egypte</v>
      </c>
      <c r="E86" s="554" t="str">
        <f>INDEX(Matches!$B$4:$J$113,MATCH($F86,Matches!$B$4:$B$113,0),9)</f>
        <v>Iran</v>
      </c>
      <c r="F86" s="557">
        <v>63</v>
      </c>
      <c r="G86" s="556" t="str">
        <f>INDEX(Matches!$B$4:$J$113,MATCH($F86,Matches!$B$4:$B$113,0),2)</f>
        <v>G2</v>
      </c>
      <c r="H86" s="556" t="str">
        <f>INDEX(Matches!$B$4:$J$113,MATCH($F86,Matches!$B$4:$B$113,0),3)</f>
        <v>G3</v>
      </c>
      <c r="I86" s="556" t="str">
        <f>IFERROR(VLOOKUP($F86,Matches!$B$4:$H$113,7,0),"")</f>
        <v>Seattle</v>
      </c>
      <c r="J86" s="809"/>
      <c r="K86" s="810"/>
    </row>
    <row r="87" spans="1:11">
      <c r="A87" s="572"/>
      <c r="B87" s="552">
        <f>INDEX(Matches!$B$4:$J$113,MATCH($F87,Matches!$B$4:$B$113,0),5)</f>
        <v>46200.208333333336</v>
      </c>
      <c r="C87" s="553">
        <f>INDEX(Matches!$B$4:$J$113,MATCH($F87,Matches!$B$4:$B$113,0),5)</f>
        <v>46200.208333333336</v>
      </c>
      <c r="D87" s="554" t="str">
        <f>INDEX(Matches!$B$4:$J$113,MATCH($F87,Matches!$B$4:$B$113,0),8)</f>
        <v>Nieuw-Zeeland</v>
      </c>
      <c r="E87" s="554" t="str">
        <f>INDEX(Matches!$B$4:$J$113,MATCH($F87,Matches!$B$4:$B$113,0),9)</f>
        <v>België</v>
      </c>
      <c r="F87" s="557">
        <v>64</v>
      </c>
      <c r="G87" s="556" t="str">
        <f>INDEX(Matches!$B$4:$J$113,MATCH($F87,Matches!$B$4:$B$113,0),2)</f>
        <v>G4</v>
      </c>
      <c r="H87" s="556" t="str">
        <f>INDEX(Matches!$B$4:$J$113,MATCH($F87,Matches!$B$4:$B$113,0),3)</f>
        <v>G1</v>
      </c>
      <c r="I87" s="556" t="str">
        <f>IFERROR(VLOOKUP($F87,Matches!$B$4:$H$113,7,0),"")</f>
        <v>Vancouver</v>
      </c>
      <c r="J87" s="809"/>
      <c r="K87" s="810"/>
    </row>
    <row r="88" spans="1:11">
      <c r="A88" s="572"/>
      <c r="B88" s="558"/>
      <c r="C88" s="559"/>
      <c r="D88" s="560"/>
      <c r="E88" s="560"/>
      <c r="F88" s="561"/>
      <c r="G88" s="562"/>
      <c r="H88" s="562"/>
      <c r="I88" s="562"/>
      <c r="J88" s="562"/>
      <c r="K88" s="563"/>
    </row>
    <row r="89" spans="1:11">
      <c r="A89" s="572"/>
      <c r="B89" s="552">
        <f>INDEX(Matches!$B$4:$J$113,MATCH($F89,Matches!$B$4:$B$113,0),5)</f>
        <v>46200.083333333336</v>
      </c>
      <c r="C89" s="553">
        <f>INDEX(Matches!$B$4:$J$113,MATCH($F89,Matches!$B$4:$B$113,0),5)</f>
        <v>46200.083333333336</v>
      </c>
      <c r="D89" s="554" t="str">
        <f>INDEX(Matches!$B$4:$J$113,MATCH($F89,Matches!$B$4:$B$113,0),8)</f>
        <v>Kaapverdië</v>
      </c>
      <c r="E89" s="554" t="str">
        <f>INDEX(Matches!$B$4:$J$113,MATCH($F89,Matches!$B$4:$B$113,0),9)</f>
        <v>Saoedi-Arabië</v>
      </c>
      <c r="F89" s="557">
        <v>65</v>
      </c>
      <c r="G89" s="556" t="str">
        <f>INDEX(Matches!$B$4:$J$113,MATCH($F89,Matches!$B$4:$B$113,0),2)</f>
        <v>H2</v>
      </c>
      <c r="H89" s="556" t="str">
        <f>INDEX(Matches!$B$4:$J$113,MATCH($F89,Matches!$B$4:$B$113,0),3)</f>
        <v>H3</v>
      </c>
      <c r="I89" s="556" t="str">
        <f>IFERROR(VLOOKUP($F89,Matches!$B$4:$H$113,7,0),"")</f>
        <v>Houston</v>
      </c>
      <c r="J89" s="809"/>
      <c r="K89" s="810"/>
    </row>
    <row r="90" spans="1:11">
      <c r="A90" s="572"/>
      <c r="B90" s="552">
        <f>INDEX(Matches!$B$4:$J$113,MATCH($F90,Matches!$B$4:$B$113,0),5)</f>
        <v>46200.083333333336</v>
      </c>
      <c r="C90" s="553">
        <f>INDEX(Matches!$B$4:$J$113,MATCH($F90,Matches!$B$4:$B$113,0),5)</f>
        <v>46200.083333333336</v>
      </c>
      <c r="D90" s="554" t="str">
        <f>INDEX(Matches!$B$4:$J$113,MATCH($F90,Matches!$B$4:$B$113,0),8)</f>
        <v>Uruguay</v>
      </c>
      <c r="E90" s="554" t="str">
        <f>INDEX(Matches!$B$4:$J$113,MATCH($F90,Matches!$B$4:$B$113,0),9)</f>
        <v>Spanje</v>
      </c>
      <c r="F90" s="557">
        <v>66</v>
      </c>
      <c r="G90" s="556" t="str">
        <f>INDEX(Matches!$B$4:$J$113,MATCH($F90,Matches!$B$4:$B$113,0),2)</f>
        <v>H4</v>
      </c>
      <c r="H90" s="556" t="str">
        <f>INDEX(Matches!$B$4:$J$113,MATCH($F90,Matches!$B$4:$B$113,0),3)</f>
        <v>H1</v>
      </c>
      <c r="I90" s="556" t="str">
        <f>IFERROR(VLOOKUP($F90,Matches!$B$4:$H$113,7,0),"")</f>
        <v>Guadalajara</v>
      </c>
      <c r="J90" s="809"/>
      <c r="K90" s="810"/>
    </row>
    <row r="91" spans="1:11">
      <c r="A91" s="572"/>
      <c r="B91" s="552">
        <f>INDEX(Matches!$B$4:$J$113,MATCH($F91,Matches!$B$4:$B$113,0),5)</f>
        <v>46200.958333333336</v>
      </c>
      <c r="C91" s="553">
        <f>INDEX(Matches!$B$4:$J$113,MATCH($F91,Matches!$B$4:$B$113,0),5)</f>
        <v>46200.958333333336</v>
      </c>
      <c r="D91" s="554" t="str">
        <f>INDEX(Matches!$B$4:$J$113,MATCH($F91,Matches!$B$4:$B$113,0),8)</f>
        <v>Panama</v>
      </c>
      <c r="E91" s="554" t="str">
        <f>INDEX(Matches!$B$4:$J$113,MATCH($F91,Matches!$B$4:$B$113,0),9)</f>
        <v>Engeland</v>
      </c>
      <c r="F91" s="557">
        <v>67</v>
      </c>
      <c r="G91" s="556" t="str">
        <f>INDEX(Matches!$B$4:$J$113,MATCH($F91,Matches!$B$4:$B$113,0),2)</f>
        <v>L4</v>
      </c>
      <c r="H91" s="556" t="str">
        <f>INDEX(Matches!$B$4:$J$113,MATCH($F91,Matches!$B$4:$B$113,0),3)</f>
        <v>L1</v>
      </c>
      <c r="I91" s="556" t="str">
        <f>IFERROR(VLOOKUP($F91,Matches!$B$4:$H$113,7,0),"")</f>
        <v>New York/New Jersey</v>
      </c>
      <c r="J91" s="809"/>
      <c r="K91" s="810"/>
    </row>
    <row r="92" spans="1:11">
      <c r="A92" s="572"/>
      <c r="B92" s="552">
        <f>INDEX(Matches!$B$4:$J$113,MATCH($F92,Matches!$B$4:$B$113,0),5)</f>
        <v>46200.958333333336</v>
      </c>
      <c r="C92" s="553">
        <f>INDEX(Matches!$B$4:$J$113,MATCH($F92,Matches!$B$4:$B$113,0),5)</f>
        <v>46200.958333333336</v>
      </c>
      <c r="D92" s="554" t="str">
        <f>INDEX(Matches!$B$4:$J$113,MATCH($F92,Matches!$B$4:$B$113,0),8)</f>
        <v>Kroatië</v>
      </c>
      <c r="E92" s="554" t="str">
        <f>INDEX(Matches!$B$4:$J$113,MATCH($F92,Matches!$B$4:$B$113,0),9)</f>
        <v>Ghana</v>
      </c>
      <c r="F92" s="557">
        <v>68</v>
      </c>
      <c r="G92" s="556" t="str">
        <f>INDEX(Matches!$B$4:$J$113,MATCH($F92,Matches!$B$4:$B$113,0),2)</f>
        <v>L2</v>
      </c>
      <c r="H92" s="556" t="str">
        <f>INDEX(Matches!$B$4:$J$113,MATCH($F92,Matches!$B$4:$B$113,0),3)</f>
        <v>L3</v>
      </c>
      <c r="I92" s="556" t="str">
        <f>IFERROR(VLOOKUP($F92,Matches!$B$4:$H$113,7,0),"")</f>
        <v>Philadelphia</v>
      </c>
      <c r="J92" s="809"/>
      <c r="K92" s="810"/>
    </row>
    <row r="93" spans="1:11">
      <c r="A93" s="572"/>
      <c r="B93" s="558"/>
      <c r="C93" s="559"/>
      <c r="D93" s="560"/>
      <c r="E93" s="560"/>
      <c r="F93" s="561"/>
      <c r="G93" s="562"/>
      <c r="H93" s="562"/>
      <c r="I93" s="562"/>
      <c r="J93" s="562"/>
      <c r="K93" s="563"/>
    </row>
    <row r="94" spans="1:11">
      <c r="A94" s="572"/>
      <c r="B94" s="552">
        <f>INDEX(Matches!$B$4:$J$113,MATCH($F94,Matches!$B$4:$B$113,0),5)</f>
        <v>46201.166666666664</v>
      </c>
      <c r="C94" s="553">
        <f>INDEX(Matches!$B$4:$J$113,MATCH($F94,Matches!$B$4:$B$113,0),5)</f>
        <v>46201.166666666664</v>
      </c>
      <c r="D94" s="554" t="str">
        <f>INDEX(Matches!$B$4:$J$113,MATCH($F94,Matches!$B$4:$B$113,0),8)</f>
        <v>Algerije</v>
      </c>
      <c r="E94" s="554" t="str">
        <f>INDEX(Matches!$B$4:$J$113,MATCH($F94,Matches!$B$4:$B$113,0),9)</f>
        <v>Oostenrijk</v>
      </c>
      <c r="F94" s="557">
        <v>69</v>
      </c>
      <c r="G94" s="556" t="str">
        <f>INDEX(Matches!$B$4:$J$113,MATCH($F94,Matches!$B$4:$B$113,0),2)</f>
        <v>J2</v>
      </c>
      <c r="H94" s="556" t="str">
        <f>INDEX(Matches!$B$4:$J$113,MATCH($F94,Matches!$B$4:$B$113,0),3)</f>
        <v>J3</v>
      </c>
      <c r="I94" s="556" t="str">
        <f>IFERROR(VLOOKUP($F94,Matches!$B$4:$H$113,7,0),"")</f>
        <v>Kansas City</v>
      </c>
      <c r="J94" s="809"/>
      <c r="K94" s="810"/>
    </row>
    <row r="95" spans="1:11">
      <c r="A95" s="572"/>
      <c r="B95" s="552">
        <f>INDEX(Matches!$B$4:$J$113,MATCH($F95,Matches!$B$4:$B$113,0),5)</f>
        <v>46201.166666666664</v>
      </c>
      <c r="C95" s="553">
        <f>INDEX(Matches!$B$4:$J$113,MATCH($F95,Matches!$B$4:$B$113,0),5)</f>
        <v>46201.166666666664</v>
      </c>
      <c r="D95" s="554" t="str">
        <f>INDEX(Matches!$B$4:$J$113,MATCH($F95,Matches!$B$4:$B$113,0),8)</f>
        <v>Jordanië</v>
      </c>
      <c r="E95" s="554" t="str">
        <f>INDEX(Matches!$B$4:$J$113,MATCH($F95,Matches!$B$4:$B$113,0),9)</f>
        <v>Argentinië</v>
      </c>
      <c r="F95" s="557">
        <v>70</v>
      </c>
      <c r="G95" s="556" t="str">
        <f>INDEX(Matches!$B$4:$J$113,MATCH($F95,Matches!$B$4:$B$113,0),2)</f>
        <v>J4</v>
      </c>
      <c r="H95" s="556" t="str">
        <f>INDEX(Matches!$B$4:$J$113,MATCH($F95,Matches!$B$4:$B$113,0),3)</f>
        <v>J1</v>
      </c>
      <c r="I95" s="556" t="str">
        <f>IFERROR(VLOOKUP($F95,Matches!$B$4:$H$113,7,0),"")</f>
        <v>Dallas</v>
      </c>
      <c r="J95" s="809"/>
      <c r="K95" s="810"/>
    </row>
    <row r="96" spans="1:11">
      <c r="A96" s="572"/>
      <c r="B96" s="552">
        <f>INDEX(Matches!$B$4:$J$113,MATCH($F96,Matches!$B$4:$B$113,0),5)</f>
        <v>46201.0625</v>
      </c>
      <c r="C96" s="553">
        <f>INDEX(Matches!$B$4:$J$113,MATCH($F96,Matches!$B$4:$B$113,0),5)</f>
        <v>46201.0625</v>
      </c>
      <c r="D96" s="554" t="str">
        <f>INDEX(Matches!$B$4:$J$113,MATCH($F96,Matches!$B$4:$B$113,0),8)</f>
        <v>Colombia</v>
      </c>
      <c r="E96" s="554" t="str">
        <f>INDEX(Matches!$B$4:$J$113,MATCH($F96,Matches!$B$4:$B$113,0),9)</f>
        <v>Portugal</v>
      </c>
      <c r="F96" s="557">
        <v>71</v>
      </c>
      <c r="G96" s="556" t="str">
        <f>INDEX(Matches!$B$4:$J$113,MATCH($F96,Matches!$B$4:$B$113,0),2)</f>
        <v>K4</v>
      </c>
      <c r="H96" s="556" t="str">
        <f>INDEX(Matches!$B$4:$J$113,MATCH($F96,Matches!$B$4:$B$113,0),3)</f>
        <v>K1</v>
      </c>
      <c r="I96" s="556" t="str">
        <f>IFERROR(VLOOKUP($F96,Matches!$B$4:$H$113,7,0),"")</f>
        <v>Miami</v>
      </c>
      <c r="J96" s="809"/>
      <c r="K96" s="810"/>
    </row>
    <row r="97" spans="1:11">
      <c r="A97" s="572"/>
      <c r="B97" s="552">
        <f>INDEX(Matches!$B$4:$J$113,MATCH($F97,Matches!$B$4:$B$113,0),5)</f>
        <v>46201.0625</v>
      </c>
      <c r="C97" s="553">
        <f>INDEX(Matches!$B$4:$J$113,MATCH($F97,Matches!$B$4:$B$113,0),5)</f>
        <v>46201.0625</v>
      </c>
      <c r="D97" s="554" t="str">
        <f>INDEX(Matches!$B$4:$J$113,MATCH($F97,Matches!$B$4:$B$113,0),8)</f>
        <v>Congo</v>
      </c>
      <c r="E97" s="554" t="str">
        <f>INDEX(Matches!$B$4:$J$113,MATCH($F97,Matches!$B$4:$B$113,0),9)</f>
        <v>Oezbekistan</v>
      </c>
      <c r="F97" s="557">
        <v>72</v>
      </c>
      <c r="G97" s="556" t="str">
        <f>INDEX(Matches!$B$4:$J$113,MATCH($F97,Matches!$B$4:$B$113,0),2)</f>
        <v>K2</v>
      </c>
      <c r="H97" s="556" t="str">
        <f>INDEX(Matches!$B$4:$J$113,MATCH($F97,Matches!$B$4:$B$113,0),3)</f>
        <v>K3</v>
      </c>
      <c r="I97" s="556" t="str">
        <f>IFERROR(VLOOKUP($F97,Matches!$B$4:$H$113,7,0),"")</f>
        <v>Atlanta</v>
      </c>
      <c r="J97" s="809"/>
      <c r="K97" s="810"/>
    </row>
    <row r="98" spans="1:11">
      <c r="A98" s="572"/>
      <c r="B98" s="558"/>
      <c r="C98" s="559"/>
      <c r="D98" s="560"/>
      <c r="E98" s="560"/>
      <c r="F98" s="561"/>
      <c r="G98" s="562"/>
      <c r="H98" s="641"/>
      <c r="I98" s="641"/>
      <c r="J98" s="641"/>
      <c r="K98" s="642"/>
    </row>
    <row r="99" spans="1:11">
      <c r="A99" s="572"/>
      <c r="B99" s="643" t="str">
        <f>Language!$E$256</f>
        <v>ronde van 32</v>
      </c>
      <c r="C99" s="644"/>
      <c r="D99" s="645"/>
      <c r="E99" s="645"/>
      <c r="F99" s="646"/>
      <c r="G99" s="647"/>
      <c r="H99" s="648"/>
      <c r="I99" s="648"/>
      <c r="J99" s="649"/>
      <c r="K99" s="650"/>
    </row>
    <row r="100" spans="1:11">
      <c r="A100" s="572"/>
      <c r="B100" s="552">
        <f>INDEX(Matches!$B$4:$J$113,MATCH($F100,Matches!$B$4:$B$113,0),5)</f>
        <v>46201.875</v>
      </c>
      <c r="C100" s="553">
        <f>INDEX(Matches!$B$4:$J$113,MATCH($F100,Matches!$B$4:$B$113,0),5)</f>
        <v>46201.875</v>
      </c>
      <c r="D100" s="554" t="str">
        <f>INDEX(Matches!$B$4:$J$113,MATCH($F100,Matches!$B$4:$B$113,0),8)</f>
        <v>Zuid-Korea</v>
      </c>
      <c r="E100" s="554" t="str">
        <f>INDEX(Matches!$B$4:$J$113,MATCH($F100,Matches!$B$4:$B$113,0),9)</f>
        <v>Canada</v>
      </c>
      <c r="F100" s="557">
        <v>73</v>
      </c>
      <c r="G100" s="556" t="str">
        <f>INDEX(Matches!$B$4:$J$113,MATCH($F100,Matches!$B$4:$B$113,0),2)</f>
        <v>2A</v>
      </c>
      <c r="H100" s="556" t="str">
        <f>INDEX(Matches!$B$4:$J$113,MATCH($F100,Matches!$B$4:$B$113,0),3)</f>
        <v>2B</v>
      </c>
      <c r="I100" s="556" t="str">
        <f>IFERROR(VLOOKUP($F100,Matches!$B$4:$H$113,7,0),"")</f>
        <v>Los Angeles</v>
      </c>
      <c r="J100" s="809"/>
      <c r="K100" s="810"/>
    </row>
    <row r="101" spans="1:11">
      <c r="A101" s="572"/>
      <c r="B101" s="552">
        <f>INDEX(Matches!$B$4:$J$113,MATCH($F101,Matches!$B$4:$B$113,0),5)</f>
        <v>46202.9375</v>
      </c>
      <c r="C101" s="553">
        <f>INDEX(Matches!$B$4:$J$113,MATCH($F101,Matches!$B$4:$B$113,0),5)</f>
        <v>46202.9375</v>
      </c>
      <c r="D101" s="554" t="str">
        <f>INDEX(Matches!$B$4:$J$113,MATCH($F101,Matches!$B$4:$B$113,0),8)</f>
        <v>Duitsland</v>
      </c>
      <c r="E101" s="554" t="str">
        <f>INDEX(Matches!$B$4:$J$113,MATCH($F101,Matches!$B$4:$B$113,0),9)</f>
        <v>Australië</v>
      </c>
      <c r="F101" s="557">
        <v>74</v>
      </c>
      <c r="G101" s="556" t="str">
        <f>INDEX(Matches!$B$4:$J$113,MATCH($F101,Matches!$B$4:$B$113,0),2)</f>
        <v>1E</v>
      </c>
      <c r="H101" s="556" t="str">
        <f>INDEX(Matches!$B$4:$J$113,MATCH($F101,Matches!$B$4:$B$113,0),3)</f>
        <v>3-ABCDF</v>
      </c>
      <c r="I101" s="556" t="str">
        <f>IFERROR(VLOOKUP($F101,Matches!$B$4:$H$113,7,0),"")</f>
        <v>Boston</v>
      </c>
      <c r="J101" s="809"/>
      <c r="K101" s="810"/>
    </row>
    <row r="102" spans="1:11">
      <c r="A102" s="572"/>
      <c r="B102" s="558"/>
      <c r="C102" s="559"/>
      <c r="D102" s="560"/>
      <c r="E102" s="560"/>
      <c r="F102" s="561"/>
      <c r="G102" s="562"/>
      <c r="H102" s="562"/>
      <c r="I102" s="562"/>
      <c r="J102" s="562"/>
      <c r="K102" s="563"/>
    </row>
    <row r="103" spans="1:11">
      <c r="A103" s="572"/>
      <c r="B103" s="552">
        <f>INDEX(Matches!$B$4:$J$113,MATCH($F103,Matches!$B$4:$B$113,0),5)</f>
        <v>46203.125</v>
      </c>
      <c r="C103" s="553">
        <f>INDEX(Matches!$B$4:$J$113,MATCH($F103,Matches!$B$4:$B$113,0),5)</f>
        <v>46203.125</v>
      </c>
      <c r="D103" s="554" t="str">
        <f>INDEX(Matches!$B$4:$J$113,MATCH($F103,Matches!$B$4:$B$113,0),8)</f>
        <v>Nederland</v>
      </c>
      <c r="E103" s="554" t="str">
        <f>INDEX(Matches!$B$4:$J$113,MATCH($F103,Matches!$B$4:$B$113,0),9)</f>
        <v>Marokko</v>
      </c>
      <c r="F103" s="557">
        <v>75</v>
      </c>
      <c r="G103" s="556" t="str">
        <f>INDEX(Matches!$B$4:$J$113,MATCH($F103,Matches!$B$4:$B$113,0),2)</f>
        <v>1F</v>
      </c>
      <c r="H103" s="556" t="str">
        <f>INDEX(Matches!$B$4:$J$113,MATCH($F103,Matches!$B$4:$B$113,0),3)</f>
        <v>2C</v>
      </c>
      <c r="I103" s="556" t="str">
        <f>IFERROR(VLOOKUP($F103,Matches!$B$4:$H$113,7,0),"")</f>
        <v>Monterrey</v>
      </c>
      <c r="J103" s="809"/>
      <c r="K103" s="810"/>
    </row>
    <row r="104" spans="1:11">
      <c r="A104" s="572"/>
      <c r="B104" s="552">
        <f>INDEX(Matches!$B$4:$J$113,MATCH($F104,Matches!$B$4:$B$113,0),5)</f>
        <v>46202.791666666664</v>
      </c>
      <c r="C104" s="553">
        <f>INDEX(Matches!$B$4:$J$113,MATCH($F104,Matches!$B$4:$B$113,0),5)</f>
        <v>46202.791666666664</v>
      </c>
      <c r="D104" s="554" t="str">
        <f>INDEX(Matches!$B$4:$J$113,MATCH($F104,Matches!$B$4:$B$113,0),8)</f>
        <v>Brazilië</v>
      </c>
      <c r="E104" s="554" t="str">
        <f>INDEX(Matches!$B$4:$J$113,MATCH($F104,Matches!$B$4:$B$113,0),9)</f>
        <v>Japan</v>
      </c>
      <c r="F104" s="557">
        <v>76</v>
      </c>
      <c r="G104" s="556" t="str">
        <f>INDEX(Matches!$B$4:$J$113,MATCH($F104,Matches!$B$4:$B$113,0),2)</f>
        <v>1C</v>
      </c>
      <c r="H104" s="556" t="str">
        <f>INDEX(Matches!$B$4:$J$113,MATCH($F104,Matches!$B$4:$B$113,0),3)</f>
        <v>2F</v>
      </c>
      <c r="I104" s="556" t="str">
        <f>IFERROR(VLOOKUP($F104,Matches!$B$4:$H$113,7,0),"")</f>
        <v>Houston</v>
      </c>
      <c r="J104" s="809"/>
      <c r="K104" s="810"/>
    </row>
    <row r="105" spans="1:11">
      <c r="A105" s="572"/>
      <c r="B105" s="558"/>
      <c r="C105" s="559"/>
      <c r="D105" s="560"/>
      <c r="E105" s="560"/>
      <c r="F105" s="561"/>
      <c r="G105" s="562"/>
      <c r="H105" s="562"/>
      <c r="I105" s="562"/>
      <c r="J105" s="562"/>
      <c r="K105" s="563"/>
    </row>
    <row r="106" spans="1:11">
      <c r="A106" s="572"/>
      <c r="B106" s="552">
        <f>INDEX(Matches!$B$4:$J$113,MATCH($F106,Matches!$B$4:$B$113,0),5)</f>
        <v>46203.958333333336</v>
      </c>
      <c r="C106" s="553">
        <f>INDEX(Matches!$B$4:$J$113,MATCH($F106,Matches!$B$4:$B$113,0),5)</f>
        <v>46203.958333333336</v>
      </c>
      <c r="D106" s="554" t="str">
        <f>INDEX(Matches!$B$4:$J$113,MATCH($F106,Matches!$B$4:$B$113,0),8)</f>
        <v>Frankrijk</v>
      </c>
      <c r="E106" s="554" t="str">
        <f>INDEX(Matches!$B$4:$J$113,MATCH($F106,Matches!$B$4:$B$113,0),9)</f>
        <v>Zweden</v>
      </c>
      <c r="F106" s="557">
        <v>77</v>
      </c>
      <c r="G106" s="556" t="str">
        <f>INDEX(Matches!$B$4:$J$113,MATCH($F106,Matches!$B$4:$B$113,0),2)</f>
        <v>1I</v>
      </c>
      <c r="H106" s="556" t="str">
        <f>INDEX(Matches!$B$4:$J$113,MATCH($F106,Matches!$B$4:$B$113,0),3)</f>
        <v>3-CDFGH</v>
      </c>
      <c r="I106" s="556" t="str">
        <f>IFERROR(VLOOKUP($F106,Matches!$B$4:$H$113,7,0),"")</f>
        <v>New York/New Jersey</v>
      </c>
      <c r="J106" s="809"/>
      <c r="K106" s="810"/>
    </row>
    <row r="107" spans="1:11">
      <c r="A107" s="572"/>
      <c r="B107" s="552">
        <f>INDEX(Matches!$B$4:$J$113,MATCH($F107,Matches!$B$4:$B$113,0),5)</f>
        <v>46203.791666666664</v>
      </c>
      <c r="C107" s="553">
        <f>INDEX(Matches!$B$4:$J$113,MATCH($F107,Matches!$B$4:$B$113,0),5)</f>
        <v>46203.791666666664</v>
      </c>
      <c r="D107" s="554" t="str">
        <f>INDEX(Matches!$B$4:$J$113,MATCH($F107,Matches!$B$4:$B$113,0),8)</f>
        <v>Ecuador</v>
      </c>
      <c r="E107" s="554" t="str">
        <f>INDEX(Matches!$B$4:$J$113,MATCH($F107,Matches!$B$4:$B$113,0),9)</f>
        <v>Senegal</v>
      </c>
      <c r="F107" s="557">
        <v>78</v>
      </c>
      <c r="G107" s="556" t="str">
        <f>INDEX(Matches!$B$4:$J$113,MATCH($F107,Matches!$B$4:$B$113,0),2)</f>
        <v>2E</v>
      </c>
      <c r="H107" s="556" t="str">
        <f>INDEX(Matches!$B$4:$J$113,MATCH($F107,Matches!$B$4:$B$113,0),3)</f>
        <v>2I</v>
      </c>
      <c r="I107" s="556" t="str">
        <f>IFERROR(VLOOKUP($F107,Matches!$B$4:$H$113,7,0),"")</f>
        <v>Dallas</v>
      </c>
      <c r="J107" s="809"/>
      <c r="K107" s="810"/>
    </row>
    <row r="108" spans="1:11">
      <c r="A108" s="572"/>
      <c r="B108" s="558"/>
      <c r="C108" s="559"/>
      <c r="D108" s="560"/>
      <c r="E108" s="560"/>
      <c r="F108" s="561"/>
      <c r="G108" s="562"/>
      <c r="H108" s="562"/>
      <c r="I108" s="562"/>
      <c r="J108" s="562"/>
      <c r="K108" s="563"/>
    </row>
    <row r="109" spans="1:11">
      <c r="A109" s="572"/>
      <c r="B109" s="552">
        <f>INDEX(Matches!$B$4:$J$113,MATCH($F109,Matches!$B$4:$B$113,0),5)</f>
        <v>46204.125</v>
      </c>
      <c r="C109" s="553">
        <f>INDEX(Matches!$B$4:$J$113,MATCH($F109,Matches!$B$4:$B$113,0),5)</f>
        <v>46204.125</v>
      </c>
      <c r="D109" s="554" t="str">
        <f>INDEX(Matches!$B$4:$J$113,MATCH($F109,Matches!$B$4:$B$113,0),8)</f>
        <v>Mexico</v>
      </c>
      <c r="E109" s="554" t="str">
        <f>INDEX(Matches!$B$4:$J$113,MATCH($F109,Matches!$B$4:$B$113,0),9)</f>
        <v>Schotland</v>
      </c>
      <c r="F109" s="557">
        <v>79</v>
      </c>
      <c r="G109" s="556" t="str">
        <f>INDEX(Matches!$B$4:$J$113,MATCH($F109,Matches!$B$4:$B$113,0),2)</f>
        <v>1A</v>
      </c>
      <c r="H109" s="556" t="str">
        <f>INDEX(Matches!$B$4:$J$113,MATCH($F109,Matches!$B$4:$B$113,0),3)</f>
        <v>3-CEFHI</v>
      </c>
      <c r="I109" s="556" t="str">
        <f>IFERROR(VLOOKUP($F109,Matches!$B$4:$H$113,7,0),"")</f>
        <v>Mexico City</v>
      </c>
      <c r="J109" s="809"/>
      <c r="K109" s="810"/>
    </row>
    <row r="110" spans="1:11">
      <c r="A110" s="572"/>
      <c r="B110" s="552">
        <f>INDEX(Matches!$B$4:$J$113,MATCH($F110,Matches!$B$4:$B$113,0),5)</f>
        <v>46204.75</v>
      </c>
      <c r="C110" s="553">
        <f>INDEX(Matches!$B$4:$J$113,MATCH($F110,Matches!$B$4:$B$113,0),5)</f>
        <v>46204.75</v>
      </c>
      <c r="D110" s="554" t="str">
        <f>INDEX(Matches!$B$4:$J$113,MATCH($F110,Matches!$B$4:$B$113,0),8)</f>
        <v>Engeland</v>
      </c>
      <c r="E110" s="554" t="str">
        <f>INDEX(Matches!$B$4:$J$113,MATCH($F110,Matches!$B$4:$B$113,0),9)</f>
        <v>Noorwegen</v>
      </c>
      <c r="F110" s="557">
        <v>80</v>
      </c>
      <c r="G110" s="556" t="str">
        <f>INDEX(Matches!$B$4:$J$113,MATCH($F110,Matches!$B$4:$B$113,0),2)</f>
        <v>1L</v>
      </c>
      <c r="H110" s="556" t="str">
        <f>INDEX(Matches!$B$4:$J$113,MATCH($F110,Matches!$B$4:$B$113,0),3)</f>
        <v>3-EHIJK</v>
      </c>
      <c r="I110" s="556" t="str">
        <f>IFERROR(VLOOKUP($F110,Matches!$B$4:$H$113,7,0),"")</f>
        <v>Atlanta</v>
      </c>
      <c r="J110" s="809"/>
      <c r="K110" s="810"/>
    </row>
    <row r="111" spans="1:11">
      <c r="A111" s="572"/>
      <c r="B111" s="558"/>
      <c r="C111" s="559"/>
      <c r="D111" s="560"/>
      <c r="E111" s="560"/>
      <c r="F111" s="561"/>
      <c r="G111" s="562"/>
      <c r="H111" s="562"/>
      <c r="I111" s="562"/>
      <c r="J111" s="562"/>
      <c r="K111" s="563"/>
    </row>
    <row r="112" spans="1:11">
      <c r="A112" s="572"/>
      <c r="B112" s="552">
        <f>INDEX(Matches!$B$4:$J$113,MATCH($F112,Matches!$B$4:$B$113,0),5)</f>
        <v>46205.083333333336</v>
      </c>
      <c r="C112" s="553">
        <f>INDEX(Matches!$B$4:$J$113,MATCH($F112,Matches!$B$4:$B$113,0),5)</f>
        <v>46205.083333333336</v>
      </c>
      <c r="D112" s="554" t="str">
        <f>INDEX(Matches!$B$4:$J$113,MATCH($F112,Matches!$B$4:$B$113,0),8)</f>
        <v>USA</v>
      </c>
      <c r="E112" s="554" t="str">
        <f>INDEX(Matches!$B$4:$J$113,MATCH($F112,Matches!$B$4:$B$113,0),9)</f>
        <v>Ivoorkust</v>
      </c>
      <c r="F112" s="557">
        <v>81</v>
      </c>
      <c r="G112" s="556" t="str">
        <f>INDEX(Matches!$B$4:$J$113,MATCH($F112,Matches!$B$4:$B$113,0),2)</f>
        <v>1D</v>
      </c>
      <c r="H112" s="556" t="str">
        <f>INDEX(Matches!$B$4:$J$113,MATCH($F112,Matches!$B$4:$B$113,0),3)</f>
        <v>3-BEFIJ</v>
      </c>
      <c r="I112" s="556" t="str">
        <f>IFERROR(VLOOKUP($F112,Matches!$B$4:$H$113,7,0),"")</f>
        <v>San Francisco Bay Area</v>
      </c>
      <c r="J112" s="809"/>
      <c r="K112" s="810"/>
    </row>
    <row r="113" spans="1:11">
      <c r="A113" s="572"/>
      <c r="B113" s="552">
        <f>INDEX(Matches!$B$4:$J$113,MATCH($F113,Matches!$B$4:$B$113,0),5)</f>
        <v>46204.916666666664</v>
      </c>
      <c r="C113" s="553">
        <f>INDEX(Matches!$B$4:$J$113,MATCH($F113,Matches!$B$4:$B$113,0),5)</f>
        <v>46204.916666666664</v>
      </c>
      <c r="D113" s="554" t="str">
        <f>INDEX(Matches!$B$4:$J$113,MATCH($F113,Matches!$B$4:$B$113,0),8)</f>
        <v>België</v>
      </c>
      <c r="E113" s="554" t="str">
        <f>INDEX(Matches!$B$4:$J$113,MATCH($F113,Matches!$B$4:$B$113,0),9)</f>
        <v>Tsjechië</v>
      </c>
      <c r="F113" s="557">
        <v>82</v>
      </c>
      <c r="G113" s="556" t="str">
        <f>INDEX(Matches!$B$4:$J$113,MATCH($F113,Matches!$B$4:$B$113,0),2)</f>
        <v>1G</v>
      </c>
      <c r="H113" s="556" t="str">
        <f>INDEX(Matches!$B$4:$J$113,MATCH($F113,Matches!$B$4:$B$113,0),3)</f>
        <v>3-AEHIJ</v>
      </c>
      <c r="I113" s="556" t="str">
        <f>IFERROR(VLOOKUP($F113,Matches!$B$4:$H$113,7,0),"")</f>
        <v>Seattle</v>
      </c>
      <c r="J113" s="809"/>
      <c r="K113" s="810"/>
    </row>
    <row r="114" spans="1:11">
      <c r="A114" s="572"/>
      <c r="B114" s="558"/>
      <c r="C114" s="559"/>
      <c r="D114" s="560"/>
      <c r="E114" s="560"/>
      <c r="F114" s="561"/>
      <c r="G114" s="562"/>
      <c r="H114" s="562"/>
      <c r="I114" s="562"/>
      <c r="J114" s="562"/>
      <c r="K114" s="563"/>
    </row>
    <row r="115" spans="1:11">
      <c r="A115" s="572"/>
      <c r="B115" s="552">
        <f>INDEX(Matches!$B$4:$J$113,MATCH($F115,Matches!$B$4:$B$113,0),5)</f>
        <v>46206.041666666664</v>
      </c>
      <c r="C115" s="553">
        <f>INDEX(Matches!$B$4:$J$113,MATCH($F115,Matches!$B$4:$B$113,0),5)</f>
        <v>46206.041666666664</v>
      </c>
      <c r="D115" s="554" t="str">
        <f>INDEX(Matches!$B$4:$J$113,MATCH($F115,Matches!$B$4:$B$113,0),8)</f>
        <v>Colombia</v>
      </c>
      <c r="E115" s="554" t="str">
        <f>INDEX(Matches!$B$4:$J$113,MATCH($F115,Matches!$B$4:$B$113,0),9)</f>
        <v>Kroatië</v>
      </c>
      <c r="F115" s="557">
        <v>83</v>
      </c>
      <c r="G115" s="556" t="str">
        <f>INDEX(Matches!$B$4:$J$113,MATCH($F115,Matches!$B$4:$B$113,0),2)</f>
        <v>2K</v>
      </c>
      <c r="H115" s="556" t="str">
        <f>INDEX(Matches!$B$4:$J$113,MATCH($F115,Matches!$B$4:$B$113,0),3)</f>
        <v>2L</v>
      </c>
      <c r="I115" s="556" t="str">
        <f>IFERROR(VLOOKUP($F115,Matches!$B$4:$H$113,7,0),"")</f>
        <v>Toronto</v>
      </c>
      <c r="J115" s="809"/>
      <c r="K115" s="810"/>
    </row>
    <row r="116" spans="1:11">
      <c r="A116" s="572"/>
      <c r="B116" s="552">
        <f>INDEX(Matches!$B$4:$J$113,MATCH($F116,Matches!$B$4:$B$113,0),5)</f>
        <v>46205.875</v>
      </c>
      <c r="C116" s="553">
        <f>INDEX(Matches!$B$4:$J$113,MATCH($F116,Matches!$B$4:$B$113,0),5)</f>
        <v>46205.875</v>
      </c>
      <c r="D116" s="554" t="str">
        <f>INDEX(Matches!$B$4:$J$113,MATCH($F116,Matches!$B$4:$B$113,0),8)</f>
        <v>Spanje</v>
      </c>
      <c r="E116" s="554" t="str">
        <f>INDEX(Matches!$B$4:$J$113,MATCH($F116,Matches!$B$4:$B$113,0),9)</f>
        <v>Oostenrijk</v>
      </c>
      <c r="F116" s="557">
        <v>84</v>
      </c>
      <c r="G116" s="556" t="str">
        <f>INDEX(Matches!$B$4:$J$113,MATCH($F116,Matches!$B$4:$B$113,0),2)</f>
        <v>1H</v>
      </c>
      <c r="H116" s="556" t="str">
        <f>INDEX(Matches!$B$4:$J$113,MATCH($F116,Matches!$B$4:$B$113,0),3)</f>
        <v>2J</v>
      </c>
      <c r="I116" s="556" t="str">
        <f>IFERROR(VLOOKUP($F116,Matches!$B$4:$H$113,7,0),"")</f>
        <v>Los Angeles</v>
      </c>
      <c r="J116" s="809"/>
      <c r="K116" s="810"/>
    </row>
    <row r="117" spans="1:11">
      <c r="A117" s="572"/>
      <c r="B117" s="558"/>
      <c r="C117" s="559"/>
      <c r="D117" s="560"/>
      <c r="E117" s="560"/>
      <c r="F117" s="561"/>
      <c r="G117" s="562"/>
      <c r="H117" s="562"/>
      <c r="I117" s="562"/>
      <c r="J117" s="562"/>
      <c r="K117" s="563"/>
    </row>
    <row r="118" spans="1:11">
      <c r="A118" s="572"/>
      <c r="B118" s="552">
        <f>INDEX(Matches!$B$4:$J$113,MATCH($F118,Matches!$B$4:$B$113,0),5)</f>
        <v>46206.208333333336</v>
      </c>
      <c r="C118" s="553">
        <f>INDEX(Matches!$B$4:$J$113,MATCH($F118,Matches!$B$4:$B$113,0),5)</f>
        <v>46206.208333333336</v>
      </c>
      <c r="D118" s="554" t="str">
        <f>INDEX(Matches!$B$4:$J$113,MATCH($F118,Matches!$B$4:$B$113,0),8)</f>
        <v>Zwitserland</v>
      </c>
      <c r="E118" s="554" t="str">
        <f>INDEX(Matches!$B$4:$J$113,MATCH($F118,Matches!$B$4:$B$113,0),9)</f>
        <v>Algerije</v>
      </c>
      <c r="F118" s="557">
        <v>85</v>
      </c>
      <c r="G118" s="556" t="str">
        <f>INDEX(Matches!$B$4:$J$113,MATCH($F118,Matches!$B$4:$B$113,0),2)</f>
        <v>1B</v>
      </c>
      <c r="H118" s="556" t="str">
        <f>INDEX(Matches!$B$4:$J$113,MATCH($F118,Matches!$B$4:$B$113,0),3)</f>
        <v>3-EFGIJ</v>
      </c>
      <c r="I118" s="556" t="str">
        <f>IFERROR(VLOOKUP($F118,Matches!$B$4:$H$113,7,0),"")</f>
        <v>Vancouver</v>
      </c>
      <c r="J118" s="809"/>
      <c r="K118" s="810"/>
    </row>
    <row r="119" spans="1:11">
      <c r="A119" s="572"/>
      <c r="B119" s="552">
        <f>INDEX(Matches!$B$4:$J$113,MATCH($F119,Matches!$B$4:$B$113,0),5)</f>
        <v>46207</v>
      </c>
      <c r="C119" s="553">
        <f>INDEX(Matches!$B$4:$J$113,MATCH($F119,Matches!$B$4:$B$113,0),5)</f>
        <v>46207</v>
      </c>
      <c r="D119" s="554" t="str">
        <f>INDEX(Matches!$B$4:$J$113,MATCH($F119,Matches!$B$4:$B$113,0),8)</f>
        <v>Argentinië</v>
      </c>
      <c r="E119" s="554" t="str">
        <f>INDEX(Matches!$B$4:$J$113,MATCH($F119,Matches!$B$4:$B$113,0),9)</f>
        <v>Uruguay</v>
      </c>
      <c r="F119" s="557">
        <v>86</v>
      </c>
      <c r="G119" s="556" t="str">
        <f>INDEX(Matches!$B$4:$J$113,MATCH($F119,Matches!$B$4:$B$113,0),2)</f>
        <v>1J</v>
      </c>
      <c r="H119" s="556" t="str">
        <f>INDEX(Matches!$B$4:$J$113,MATCH($F119,Matches!$B$4:$B$113,0),3)</f>
        <v>2H</v>
      </c>
      <c r="I119" s="556" t="str">
        <f>IFERROR(VLOOKUP($F119,Matches!$B$4:$H$113,7,0),"")</f>
        <v>Miami</v>
      </c>
      <c r="J119" s="809"/>
      <c r="K119" s="810"/>
    </row>
    <row r="120" spans="1:11">
      <c r="A120" s="572"/>
      <c r="B120" s="558"/>
      <c r="C120" s="559"/>
      <c r="D120" s="560"/>
      <c r="E120" s="560"/>
      <c r="F120" s="561"/>
      <c r="G120" s="562"/>
      <c r="H120" s="562"/>
      <c r="I120" s="562"/>
      <c r="J120" s="562"/>
      <c r="K120" s="563"/>
    </row>
    <row r="121" spans="1:11">
      <c r="A121" s="572"/>
      <c r="B121" s="552">
        <f>INDEX(Matches!$B$4:$J$113,MATCH($F121,Matches!$B$4:$B$113,0),5)</f>
        <v>46207.145833333336</v>
      </c>
      <c r="C121" s="553">
        <f>INDEX(Matches!$B$4:$J$113,MATCH($F121,Matches!$B$4:$B$113,0),5)</f>
        <v>46207.145833333336</v>
      </c>
      <c r="D121" s="554" t="str">
        <f>INDEX(Matches!$B$4:$J$113,MATCH($F121,Matches!$B$4:$B$113,0),8)</f>
        <v>Portugal</v>
      </c>
      <c r="E121" s="554" t="str">
        <f>INDEX(Matches!$B$4:$J$113,MATCH($F121,Matches!$B$4:$B$113,0),9)</f>
        <v>Panama</v>
      </c>
      <c r="F121" s="557">
        <v>87</v>
      </c>
      <c r="G121" s="556" t="str">
        <f>INDEX(Matches!$B$4:$J$113,MATCH($F121,Matches!$B$4:$B$113,0),2)</f>
        <v>1K</v>
      </c>
      <c r="H121" s="556" t="str">
        <f>INDEX(Matches!$B$4:$J$113,MATCH($F121,Matches!$B$4:$B$113,0),3)</f>
        <v>3-DEIJL</v>
      </c>
      <c r="I121" s="556" t="str">
        <f>IFERROR(VLOOKUP($F121,Matches!$B$4:$H$113,7,0),"")</f>
        <v>Kansas City</v>
      </c>
      <c r="J121" s="809"/>
      <c r="K121" s="810"/>
    </row>
    <row r="122" spans="1:11">
      <c r="A122" s="572"/>
      <c r="B122" s="552">
        <f>INDEX(Matches!$B$4:$J$113,MATCH($F122,Matches!$B$4:$B$113,0),5)</f>
        <v>46206.833333333336</v>
      </c>
      <c r="C122" s="553">
        <f>INDEX(Matches!$B$4:$J$113,MATCH($F122,Matches!$B$4:$B$113,0),5)</f>
        <v>46206.833333333336</v>
      </c>
      <c r="D122" s="554" t="str">
        <f>INDEX(Matches!$B$4:$J$113,MATCH($F122,Matches!$B$4:$B$113,0),8)</f>
        <v>Turkije</v>
      </c>
      <c r="E122" s="554" t="str">
        <f>INDEX(Matches!$B$4:$J$113,MATCH($F122,Matches!$B$4:$B$113,0),9)</f>
        <v>Nieuw-Zeeland</v>
      </c>
      <c r="F122" s="557">
        <v>88</v>
      </c>
      <c r="G122" s="556" t="str">
        <f>INDEX(Matches!$B$4:$J$113,MATCH($F122,Matches!$B$4:$B$113,0),2)</f>
        <v>2D</v>
      </c>
      <c r="H122" s="556" t="str">
        <f>INDEX(Matches!$B$4:$J$113,MATCH($F122,Matches!$B$4:$B$113,0),3)</f>
        <v>2G</v>
      </c>
      <c r="I122" s="556" t="str">
        <f>IFERROR(VLOOKUP($F122,Matches!$B$4:$H$113,7,0),"")</f>
        <v>Dallas</v>
      </c>
      <c r="J122" s="809"/>
      <c r="K122" s="810"/>
    </row>
    <row r="123" spans="1:11">
      <c r="A123" s="572"/>
      <c r="B123" s="558"/>
      <c r="C123" s="559"/>
      <c r="D123" s="560"/>
      <c r="E123" s="560"/>
      <c r="F123" s="561"/>
      <c r="G123" s="562"/>
      <c r="H123" s="562"/>
      <c r="I123" s="562"/>
      <c r="J123" s="562"/>
      <c r="K123" s="563"/>
    </row>
    <row r="124" spans="1:11">
      <c r="A124" s="572"/>
      <c r="B124" s="643" t="str">
        <f>Language!$E$257</f>
        <v>Achtste finale</v>
      </c>
      <c r="C124" s="644"/>
      <c r="D124" s="645"/>
      <c r="E124" s="645"/>
      <c r="F124" s="646"/>
      <c r="G124" s="647"/>
      <c r="H124" s="648"/>
      <c r="I124" s="648"/>
      <c r="J124" s="649"/>
      <c r="K124" s="650"/>
    </row>
    <row r="125" spans="1:11">
      <c r="A125" s="572"/>
      <c r="B125" s="552">
        <f>INDEX(Matches!$B$4:$J$113,MATCH($F125,Matches!$B$4:$B$113,0),5)</f>
        <v>46207.958333333336</v>
      </c>
      <c r="C125" s="553">
        <f>INDEX(Matches!$B$4:$J$113,MATCH($F125,Matches!$B$4:$B$113,0),5)</f>
        <v>46207.958333333336</v>
      </c>
      <c r="D125" s="623" t="str">
        <f>'World Cup'!$B$60</f>
        <v/>
      </c>
      <c r="E125" s="620" t="str">
        <f>'World Cup'!$C$60</f>
        <v>Zweden</v>
      </c>
      <c r="F125" s="557">
        <v>89</v>
      </c>
      <c r="G125" s="556" t="str">
        <f>INDEX(Matches!$B$4:$J$113,MATCH($F125,Matches!$B$4:$B$113,0),2)</f>
        <v>W74</v>
      </c>
      <c r="H125" s="556" t="str">
        <f>INDEX(Matches!$B$4:$J$113,MATCH($F125,Matches!$B$4:$B$113,0),3)</f>
        <v>W77</v>
      </c>
      <c r="I125" s="556" t="str">
        <f>IFERROR(VLOOKUP($F125,Matches!$B$4:$H$113,7,0),"")</f>
        <v>Philadelphia</v>
      </c>
      <c r="J125" s="809"/>
      <c r="K125" s="810"/>
    </row>
    <row r="126" spans="1:11">
      <c r="A126" s="572"/>
      <c r="B126" s="552">
        <f>INDEX(Matches!$B$4:$J$113,MATCH($F126,Matches!$B$4:$B$113,0),5)</f>
        <v>46207.791666666664</v>
      </c>
      <c r="C126" s="553">
        <f>INDEX(Matches!$B$4:$J$113,MATCH($F126,Matches!$B$4:$B$113,0),5)</f>
        <v>46207.791666666664</v>
      </c>
      <c r="D126" s="620" t="str">
        <f>'World Cup'!$E$60</f>
        <v/>
      </c>
      <c r="E126" s="620" t="str">
        <f>'World Cup'!$F$60</f>
        <v/>
      </c>
      <c r="F126" s="557">
        <v>90</v>
      </c>
      <c r="G126" s="556" t="str">
        <f>INDEX(Matches!$B$4:$J$113,MATCH($F126,Matches!$B$4:$B$113,0),2)</f>
        <v>W73</v>
      </c>
      <c r="H126" s="556" t="str">
        <f>INDEX(Matches!$B$4:$J$113,MATCH($F126,Matches!$B$4:$B$113,0),3)</f>
        <v>W75</v>
      </c>
      <c r="I126" s="556" t="str">
        <f>IFERROR(VLOOKUP($F126,Matches!$B$4:$H$113,7,0),"")</f>
        <v>Houston</v>
      </c>
      <c r="J126" s="809"/>
      <c r="K126" s="810"/>
    </row>
    <row r="127" spans="1:11">
      <c r="A127" s="572"/>
      <c r="B127" s="558"/>
      <c r="C127" s="559"/>
      <c r="D127" s="560"/>
      <c r="E127" s="560"/>
      <c r="F127" s="561"/>
      <c r="G127" s="562"/>
      <c r="H127" s="562"/>
      <c r="I127" s="562"/>
      <c r="J127" s="562"/>
      <c r="K127" s="563"/>
    </row>
    <row r="128" spans="1:11">
      <c r="A128" s="572"/>
      <c r="B128" s="552">
        <f>INDEX(Matches!$B$4:$J$113,MATCH($F128,Matches!$B$4:$B$113,0),5)</f>
        <v>46208.916666666664</v>
      </c>
      <c r="C128" s="553">
        <f>INDEX(Matches!$B$4:$J$113,MATCH($F128,Matches!$B$4:$B$113,0),5)</f>
        <v>46208.916666666664</v>
      </c>
      <c r="D128" s="620" t="str">
        <f>'World Cup'!$N$60</f>
        <v/>
      </c>
      <c r="E128" s="620" t="str">
        <f>'World Cup'!$O$60</f>
        <v/>
      </c>
      <c r="F128" s="557">
        <v>91</v>
      </c>
      <c r="G128" s="556" t="str">
        <f>INDEX(Matches!$B$4:$J$113,MATCH($F128,Matches!$B$4:$B$113,0),2)</f>
        <v>W76</v>
      </c>
      <c r="H128" s="556" t="str">
        <f>INDEX(Matches!$B$4:$J$113,MATCH($F128,Matches!$B$4:$B$113,0),3)</f>
        <v>W78</v>
      </c>
      <c r="I128" s="556" t="str">
        <f>IFERROR(VLOOKUP($F128,Matches!$B$4:$H$113,7,0),"")</f>
        <v>New York/New Jersey</v>
      </c>
      <c r="J128" s="809"/>
      <c r="K128" s="810"/>
    </row>
    <row r="129" spans="1:11">
      <c r="A129" s="572"/>
      <c r="B129" s="552">
        <f>INDEX(Matches!$B$4:$J$113,MATCH($F129,Matches!$B$4:$B$113,0),5)</f>
        <v>46209.083333333336</v>
      </c>
      <c r="C129" s="553">
        <f>INDEX(Matches!$B$4:$J$113,MATCH($F129,Matches!$B$4:$B$113,0),5)</f>
        <v>46209.083333333336</v>
      </c>
      <c r="D129" s="620" t="str">
        <f>'World Cup'!$Q$60</f>
        <v/>
      </c>
      <c r="E129" s="620" t="str">
        <f>'World Cup'!$R$60</f>
        <v/>
      </c>
      <c r="F129" s="557">
        <v>92</v>
      </c>
      <c r="G129" s="556" t="str">
        <f>INDEX(Matches!$B$4:$J$113,MATCH($F129,Matches!$B$4:$B$113,0),2)</f>
        <v>W79</v>
      </c>
      <c r="H129" s="556" t="str">
        <f>INDEX(Matches!$B$4:$J$113,MATCH($F129,Matches!$B$4:$B$113,0),3)</f>
        <v>W80</v>
      </c>
      <c r="I129" s="556" t="str">
        <f>IFERROR(VLOOKUP($F129,Matches!$B$4:$H$113,7,0),"")</f>
        <v>Mexico City</v>
      </c>
      <c r="J129" s="809"/>
      <c r="K129" s="810"/>
    </row>
    <row r="130" spans="1:11">
      <c r="A130" s="572"/>
      <c r="B130" s="558"/>
      <c r="C130" s="559"/>
      <c r="D130" s="560"/>
      <c r="E130" s="560"/>
      <c r="F130" s="561"/>
      <c r="G130" s="562"/>
      <c r="H130" s="562"/>
      <c r="I130" s="562"/>
      <c r="J130" s="562"/>
      <c r="K130" s="563"/>
    </row>
    <row r="131" spans="1:11">
      <c r="A131" s="572"/>
      <c r="B131" s="552">
        <f>INDEX(Matches!$B$4:$J$113,MATCH($F131,Matches!$B$4:$B$113,0),5)</f>
        <v>46209.875</v>
      </c>
      <c r="C131" s="553">
        <f>INDEX(Matches!$B$4:$J$113,MATCH($F131,Matches!$B$4:$B$113,0),5)</f>
        <v>46209.875</v>
      </c>
      <c r="D131" s="620" t="str">
        <f>'World Cup'!$H$60</f>
        <v/>
      </c>
      <c r="E131" s="620" t="str">
        <f>'World Cup'!$I$60</f>
        <v/>
      </c>
      <c r="F131" s="557">
        <v>93</v>
      </c>
      <c r="G131" s="556" t="str">
        <f>INDEX(Matches!$B$4:$J$113,MATCH($F131,Matches!$B$4:$B$113,0),2)</f>
        <v>W83</v>
      </c>
      <c r="H131" s="556" t="str">
        <f>INDEX(Matches!$B$4:$J$113,MATCH($F131,Matches!$B$4:$B$113,0),3)</f>
        <v>W84</v>
      </c>
      <c r="I131" s="556" t="str">
        <f>IFERROR(VLOOKUP($F131,Matches!$B$4:$H$113,7,0),"")</f>
        <v>Dallas</v>
      </c>
      <c r="J131" s="809"/>
      <c r="K131" s="810"/>
    </row>
    <row r="132" spans="1:11">
      <c r="A132" s="572"/>
      <c r="B132" s="552">
        <f>INDEX(Matches!$B$4:$J$113,MATCH($F132,Matches!$B$4:$B$113,0),5)</f>
        <v>46210.083333333336</v>
      </c>
      <c r="C132" s="553">
        <f>INDEX(Matches!$B$4:$J$113,MATCH($F132,Matches!$B$4:$B$113,0),5)</f>
        <v>46210.083333333336</v>
      </c>
      <c r="D132" s="620" t="str">
        <f>'World Cup'!$K$60</f>
        <v/>
      </c>
      <c r="E132" s="620" t="str">
        <f>'World Cup'!$L$60</f>
        <v/>
      </c>
      <c r="F132" s="557">
        <v>94</v>
      </c>
      <c r="G132" s="556" t="str">
        <f>INDEX(Matches!$B$4:$J$113,MATCH($F132,Matches!$B$4:$B$113,0),2)</f>
        <v>W81</v>
      </c>
      <c r="H132" s="556" t="str">
        <f>INDEX(Matches!$B$4:$J$113,MATCH($F132,Matches!$B$4:$B$113,0),3)</f>
        <v>W82</v>
      </c>
      <c r="I132" s="556" t="str">
        <f>IFERROR(VLOOKUP($F132,Matches!$B$4:$H$113,7,0),"")</f>
        <v>Seattle</v>
      </c>
      <c r="J132" s="809"/>
      <c r="K132" s="810"/>
    </row>
    <row r="133" spans="1:11">
      <c r="A133" s="572"/>
      <c r="B133" s="558"/>
      <c r="C133" s="559"/>
      <c r="D133" s="560"/>
      <c r="E133" s="560"/>
      <c r="F133" s="561"/>
      <c r="G133" s="562"/>
      <c r="H133" s="562"/>
      <c r="I133" s="562"/>
      <c r="J133" s="562"/>
      <c r="K133" s="563"/>
    </row>
    <row r="134" spans="1:11">
      <c r="A134" s="572"/>
      <c r="B134" s="552">
        <f>INDEX(Matches!$B$4:$J$113,MATCH($F134,Matches!$B$4:$B$113,0),5)</f>
        <v>46210.75</v>
      </c>
      <c r="C134" s="553">
        <f>INDEX(Matches!$B$4:$J$113,MATCH($F134,Matches!$B$4:$B$113,0),5)</f>
        <v>46210.75</v>
      </c>
      <c r="D134" s="620" t="str">
        <f>'World Cup'!$T$60</f>
        <v/>
      </c>
      <c r="E134" s="620" t="str">
        <f>'World Cup'!$U$60</f>
        <v/>
      </c>
      <c r="F134" s="557">
        <v>95</v>
      </c>
      <c r="G134" s="556" t="str">
        <f>INDEX(Matches!$B$4:$J$113,MATCH($F134,Matches!$B$4:$B$113,0),2)</f>
        <v>W86</v>
      </c>
      <c r="H134" s="556" t="str">
        <f>INDEX(Matches!$B$4:$J$113,MATCH($F134,Matches!$B$4:$B$113,0),3)</f>
        <v>W88</v>
      </c>
      <c r="I134" s="556" t="str">
        <f>IFERROR(VLOOKUP($F134,Matches!$B$4:$H$113,7,0),"")</f>
        <v>Atlanta</v>
      </c>
      <c r="J134" s="809"/>
      <c r="K134" s="810"/>
    </row>
    <row r="135" spans="1:11">
      <c r="A135" s="572"/>
      <c r="B135" s="552">
        <f>INDEX(Matches!$B$4:$J$113,MATCH($F135,Matches!$B$4:$B$113,0),5)</f>
        <v>46210.916666666664</v>
      </c>
      <c r="C135" s="553">
        <f>INDEX(Matches!$B$4:$J$113,MATCH($F135,Matches!$B$4:$B$113,0),5)</f>
        <v>46210.916666666664</v>
      </c>
      <c r="D135" s="620" t="str">
        <f>'World Cup'!$W$60</f>
        <v/>
      </c>
      <c r="E135" s="620" t="str">
        <f>'World Cup'!$X$60</f>
        <v/>
      </c>
      <c r="F135" s="557">
        <v>96</v>
      </c>
      <c r="G135" s="556" t="str">
        <f>INDEX(Matches!$B$4:$J$113,MATCH($F135,Matches!$B$4:$B$113,0),2)</f>
        <v>W85</v>
      </c>
      <c r="H135" s="556" t="str">
        <f>INDEX(Matches!$B$4:$J$113,MATCH($F135,Matches!$B$4:$B$113,0),3)</f>
        <v>W87</v>
      </c>
      <c r="I135" s="556" t="str">
        <f>IFERROR(VLOOKUP($F135,Matches!$B$4:$H$113,7,0),"")</f>
        <v>Vancouver</v>
      </c>
      <c r="J135" s="809"/>
      <c r="K135" s="810"/>
    </row>
    <row r="136" spans="1:11">
      <c r="A136" s="572"/>
      <c r="B136" s="558"/>
      <c r="C136" s="559"/>
      <c r="D136" s="560"/>
      <c r="E136" s="560"/>
      <c r="F136" s="561"/>
      <c r="G136" s="562"/>
      <c r="H136" s="562"/>
      <c r="I136" s="562"/>
      <c r="J136" s="562"/>
      <c r="K136" s="563"/>
    </row>
    <row r="137" spans="1:11">
      <c r="A137" s="4"/>
      <c r="B137" s="643" t="str">
        <f>Language!$E$258</f>
        <v>Kwart finale</v>
      </c>
      <c r="C137" s="644"/>
      <c r="D137" s="645"/>
      <c r="E137" s="645"/>
      <c r="F137" s="646"/>
      <c r="G137" s="647"/>
      <c r="H137" s="648"/>
      <c r="I137" s="648"/>
      <c r="J137" s="649"/>
      <c r="K137" s="650"/>
    </row>
    <row r="138" spans="1:11">
      <c r="A138" s="4"/>
      <c r="B138" s="552">
        <f>INDEX(Matches!$B$4:$J$113,MATCH($F138,Matches!$B$4:$B$113,0),5)</f>
        <v>46212.916666666664</v>
      </c>
      <c r="C138" s="553">
        <f>INDEX(Matches!$B$4:$J$113,MATCH($F138,Matches!$B$4:$B$113,0),5)</f>
        <v>46212.916666666664</v>
      </c>
      <c r="D138" s="620" t="str">
        <f>'World Cup'!$C$70</f>
        <v/>
      </c>
      <c r="E138" s="620" t="str">
        <f>'World Cup'!$E$70</f>
        <v/>
      </c>
      <c r="F138" s="557">
        <v>97</v>
      </c>
      <c r="G138" s="556" t="str">
        <f>INDEX(Matches!$B$4:$J$113,MATCH($F138,Matches!$B$4:$B$113,0),2)</f>
        <v>W89</v>
      </c>
      <c r="H138" s="556" t="str">
        <f>INDEX(Matches!$B$4:$J$113,MATCH($F138,Matches!$B$4:$B$113,0),3)</f>
        <v>W90</v>
      </c>
      <c r="I138" s="556" t="str">
        <f>IFERROR(VLOOKUP($F138,Matches!$B$4:$H$113,7,0),"")</f>
        <v>Boston</v>
      </c>
      <c r="J138" s="809"/>
      <c r="K138" s="810"/>
    </row>
    <row r="139" spans="1:11">
      <c r="A139" s="4"/>
      <c r="B139" s="552">
        <f>INDEX(Matches!$B$4:$J$113,MATCH($F139,Matches!$B$4:$B$113,0),5)</f>
        <v>46213.875</v>
      </c>
      <c r="C139" s="553">
        <f>INDEX(Matches!$B$4:$J$113,MATCH($F139,Matches!$B$4:$B$113,0),5)</f>
        <v>46213.875</v>
      </c>
      <c r="D139" s="620" t="str">
        <f>'World Cup'!$I$70</f>
        <v/>
      </c>
      <c r="E139" s="620" t="str">
        <f>'World Cup'!$K$70</f>
        <v/>
      </c>
      <c r="F139" s="557">
        <v>98</v>
      </c>
      <c r="G139" s="556" t="str">
        <f>INDEX(Matches!$B$4:$J$113,MATCH($F139,Matches!$B$4:$B$113,0),2)</f>
        <v>W93</v>
      </c>
      <c r="H139" s="556" t="str">
        <f>INDEX(Matches!$B$4:$J$113,MATCH($F139,Matches!$B$4:$B$113,0),3)</f>
        <v>W94</v>
      </c>
      <c r="I139" s="556" t="str">
        <f>IFERROR(VLOOKUP($F139,Matches!$B$4:$H$113,7,0),"")</f>
        <v>Los Angeles</v>
      </c>
      <c r="J139" s="809"/>
      <c r="K139" s="810"/>
    </row>
    <row r="140" spans="1:11">
      <c r="A140" s="4"/>
      <c r="B140" s="558"/>
      <c r="C140" s="559"/>
      <c r="D140" s="560"/>
      <c r="E140" s="560"/>
      <c r="F140" s="561"/>
      <c r="G140" s="562"/>
      <c r="H140" s="562"/>
      <c r="I140" s="562"/>
      <c r="J140" s="562"/>
      <c r="K140" s="563"/>
    </row>
    <row r="141" spans="1:11">
      <c r="A141" s="4"/>
      <c r="B141" s="552">
        <f>INDEX(Matches!$B$4:$J$113,MATCH($F141,Matches!$B$4:$B$113,0),5)</f>
        <v>46214.958333333336</v>
      </c>
      <c r="C141" s="553">
        <f>INDEX(Matches!$B$4:$J$113,MATCH($F141,Matches!$B$4:$B$113,0),5)</f>
        <v>46214.958333333336</v>
      </c>
      <c r="D141" s="620" t="str">
        <f>'World Cup'!$O$70</f>
        <v/>
      </c>
      <c r="E141" s="620" t="str">
        <f>'World Cup'!$Q$70</f>
        <v/>
      </c>
      <c r="F141" s="557">
        <v>99</v>
      </c>
      <c r="G141" s="556" t="str">
        <f>INDEX(Matches!$B$4:$J$113,MATCH($F141,Matches!$B$4:$B$113,0),2)</f>
        <v>W91</v>
      </c>
      <c r="H141" s="556" t="str">
        <f>INDEX(Matches!$B$4:$J$113,MATCH($F141,Matches!$B$4:$B$113,0),3)</f>
        <v>W92</v>
      </c>
      <c r="I141" s="556" t="str">
        <f>IFERROR(VLOOKUP($F141,Matches!$B$4:$H$113,7,0),"")</f>
        <v>Miami</v>
      </c>
      <c r="J141" s="809"/>
      <c r="K141" s="810"/>
    </row>
    <row r="142" spans="1:11">
      <c r="A142" s="4"/>
      <c r="B142" s="552">
        <f>INDEX(Matches!$B$4:$J$113,MATCH($F142,Matches!$B$4:$B$113,0),5)</f>
        <v>46215.125</v>
      </c>
      <c r="C142" s="553">
        <f>INDEX(Matches!$B$4:$J$113,MATCH($F142,Matches!$B$4:$B$113,0),5)</f>
        <v>46215.125</v>
      </c>
      <c r="D142" s="620" t="str">
        <f>'World Cup'!$U$70</f>
        <v/>
      </c>
      <c r="E142" s="620" t="str">
        <f>'World Cup'!$W$70</f>
        <v/>
      </c>
      <c r="F142" s="557">
        <v>100</v>
      </c>
      <c r="G142" s="556" t="str">
        <f>INDEX(Matches!$B$4:$J$113,MATCH($F142,Matches!$B$4:$B$113,0),2)</f>
        <v>W95</v>
      </c>
      <c r="H142" s="556" t="str">
        <f>INDEX(Matches!$B$4:$J$113,MATCH($F142,Matches!$B$4:$B$113,0),3)</f>
        <v>W96</v>
      </c>
      <c r="I142" s="556" t="str">
        <f>IFERROR(VLOOKUP($F142,Matches!$B$4:$H$113,7,0),"")</f>
        <v>Kansas City</v>
      </c>
      <c r="J142" s="809"/>
      <c r="K142" s="810"/>
    </row>
    <row r="143" spans="1:11">
      <c r="A143" s="572"/>
      <c r="B143" s="558"/>
      <c r="C143" s="559"/>
      <c r="D143" s="560"/>
      <c r="E143" s="560"/>
      <c r="F143" s="561"/>
      <c r="G143" s="562"/>
      <c r="H143" s="562"/>
      <c r="I143" s="562"/>
      <c r="J143" s="562"/>
      <c r="K143" s="563"/>
    </row>
    <row r="144" spans="1:11">
      <c r="A144" s="4"/>
      <c r="B144" s="643" t="str">
        <f>Language!$E$259</f>
        <v>Halve finale</v>
      </c>
      <c r="C144" s="644"/>
      <c r="D144" s="645"/>
      <c r="E144" s="645"/>
      <c r="F144" s="646"/>
      <c r="G144" s="647"/>
      <c r="H144" s="648"/>
      <c r="I144" s="648"/>
      <c r="J144" s="649"/>
      <c r="K144" s="650"/>
    </row>
    <row r="145" spans="1:11">
      <c r="A145" s="4"/>
      <c r="B145" s="552">
        <f>INDEX(Matches!$B$4:$J$113,MATCH($F145,Matches!$B$4:$B$113,0),5)</f>
        <v>46217.875</v>
      </c>
      <c r="C145" s="553">
        <f>INDEX(Matches!$B$4:$J$113,MATCH($F145,Matches!$B$4:$B$113,0),5)</f>
        <v>46217.875</v>
      </c>
      <c r="D145" s="620" t="str">
        <f>'World Cup'!$F$80</f>
        <v/>
      </c>
      <c r="E145" s="620" t="str">
        <f>'World Cup'!$H$80</f>
        <v/>
      </c>
      <c r="F145" s="557">
        <v>101</v>
      </c>
      <c r="G145" s="556" t="str">
        <f>INDEX(Matches!$B$4:$J$113,MATCH($F145,Matches!$B$4:$B$113,0),2)</f>
        <v>W97</v>
      </c>
      <c r="H145" s="556" t="str">
        <f>INDEX(Matches!$B$4:$J$113,MATCH($F145,Matches!$B$4:$B$113,0),3)</f>
        <v>W98</v>
      </c>
      <c r="I145" s="556" t="str">
        <f>IFERROR(VLOOKUP($F145,Matches!$B$4:$H$113,7,0),"")</f>
        <v>Dallas</v>
      </c>
      <c r="J145" s="809"/>
      <c r="K145" s="810"/>
    </row>
    <row r="146" spans="1:11">
      <c r="A146" s="4"/>
      <c r="B146" s="558"/>
      <c r="C146" s="559"/>
      <c r="D146" s="560"/>
      <c r="E146" s="560"/>
      <c r="F146" s="561"/>
      <c r="G146" s="562"/>
      <c r="H146" s="562"/>
      <c r="I146" s="562"/>
      <c r="J146" s="562"/>
      <c r="K146" s="563"/>
    </row>
    <row r="147" spans="1:11">
      <c r="A147" s="4"/>
      <c r="B147" s="573">
        <f>INDEX(Matches!$B$4:$J$113,MATCH($F147,Matches!$B$4:$B$113,0),5)</f>
        <v>46218.875</v>
      </c>
      <c r="C147" s="574">
        <f>INDEX(Matches!$B$4:$J$113,MATCH($F147,Matches!$B$4:$B$113,0),5)</f>
        <v>46218.875</v>
      </c>
      <c r="D147" s="621" t="str">
        <f>'World Cup'!$R$80</f>
        <v/>
      </c>
      <c r="E147" s="621" t="str">
        <f>'World Cup'!$T$80</f>
        <v/>
      </c>
      <c r="F147" s="557">
        <v>102</v>
      </c>
      <c r="G147" s="556" t="str">
        <f>INDEX(Matches!$B$4:$J$113,MATCH($F147,Matches!$B$4:$B$113,0),2)</f>
        <v>W99</v>
      </c>
      <c r="H147" s="556" t="str">
        <f>INDEX(Matches!$B$4:$J$113,MATCH($F147,Matches!$B$4:$B$113,0),3)</f>
        <v>W100</v>
      </c>
      <c r="I147" s="556" t="str">
        <f>IFERROR(VLOOKUP($F147,Matches!$B$4:$H$113,7,0),"")</f>
        <v>Atlanta</v>
      </c>
      <c r="J147" s="809"/>
      <c r="K147" s="810"/>
    </row>
    <row r="148" spans="1:11">
      <c r="A148" s="572"/>
      <c r="B148" s="558"/>
      <c r="C148" s="559"/>
      <c r="D148" s="560"/>
      <c r="E148" s="560"/>
      <c r="F148" s="561"/>
      <c r="G148" s="562"/>
      <c r="H148" s="562"/>
      <c r="I148" s="562"/>
      <c r="J148" s="562"/>
      <c r="K148" s="563"/>
    </row>
    <row r="149" spans="1:11">
      <c r="A149" s="4"/>
      <c r="B149" s="643" t="str">
        <f>Language!$E$172</f>
        <v>Derde plaats</v>
      </c>
      <c r="C149" s="644"/>
      <c r="D149" s="645"/>
      <c r="E149" s="645"/>
      <c r="F149" s="646"/>
      <c r="G149" s="647"/>
      <c r="H149" s="648"/>
      <c r="I149" s="648"/>
      <c r="J149" s="649"/>
      <c r="K149" s="650"/>
    </row>
    <row r="150" spans="1:11">
      <c r="A150" s="4"/>
      <c r="B150" s="552">
        <f>INDEX(Matches!$B$4:$J$113,MATCH($F150,Matches!$B$4:$B$113,0),5)</f>
        <v>46221.958333333336</v>
      </c>
      <c r="C150" s="553">
        <f>INDEX(Matches!$B$4:$J$113,MATCH($F150,Matches!$B$4:$B$113,0),5)</f>
        <v>46221.958333333336</v>
      </c>
      <c r="D150" s="620" t="str">
        <f>'World Cup'!$L$88</f>
        <v/>
      </c>
      <c r="E150" s="620" t="str">
        <f>'World Cup'!$N$88</f>
        <v/>
      </c>
      <c r="F150" s="557">
        <v>103</v>
      </c>
      <c r="G150" s="556" t="str">
        <f>INDEX(Matches!$B$4:$J$113,MATCH($F150,Matches!$B$4:$B$113,0),2)</f>
        <v>RU101</v>
      </c>
      <c r="H150" s="556" t="str">
        <f>INDEX(Matches!$B$4:$J$113,MATCH($F150,Matches!$B$4:$B$113,0),3)</f>
        <v>RU102</v>
      </c>
      <c r="I150" s="556" t="str">
        <f>IFERROR(VLOOKUP($F150,Matches!$B$4:$H$113,7,0),"")</f>
        <v>Miami</v>
      </c>
      <c r="J150" s="809"/>
      <c r="K150" s="810"/>
    </row>
    <row r="151" spans="1:11">
      <c r="A151" s="572"/>
      <c r="B151" s="558"/>
      <c r="C151" s="559"/>
      <c r="D151" s="560"/>
      <c r="E151" s="560"/>
      <c r="F151" s="561"/>
      <c r="G151" s="562"/>
      <c r="H151" s="562"/>
      <c r="I151" s="562"/>
      <c r="J151" s="562"/>
      <c r="K151" s="563"/>
    </row>
    <row r="152" spans="1:11">
      <c r="A152" s="4"/>
      <c r="B152" s="643" t="str">
        <f>Language!$E$173</f>
        <v>Finale</v>
      </c>
      <c r="C152" s="644"/>
      <c r="D152" s="645"/>
      <c r="E152" s="645"/>
      <c r="F152" s="646"/>
      <c r="G152" s="647"/>
      <c r="H152" s="648"/>
      <c r="I152" s="648"/>
      <c r="J152" s="649"/>
      <c r="K152" s="650"/>
    </row>
    <row r="153" spans="1:11" ht="15.75" thickBot="1">
      <c r="A153" s="4"/>
      <c r="B153" s="575">
        <f>INDEX(Matches!$B$4:$J$113,MATCH($F153,Matches!$B$4:$B$113,0),5)</f>
        <v>46222.875</v>
      </c>
      <c r="C153" s="576">
        <f>INDEX(Matches!$B$4:$J$113,MATCH($F153,Matches!$B$4:$B$113,0),5)</f>
        <v>46222.875</v>
      </c>
      <c r="D153" s="622" t="str">
        <f>'World Cup'!$L$98</f>
        <v/>
      </c>
      <c r="E153" s="622" t="str">
        <f>'World Cup'!$N$98</f>
        <v/>
      </c>
      <c r="F153" s="577">
        <v>104</v>
      </c>
      <c r="G153" s="578" t="str">
        <f>INDEX(Matches!$B$4:$J$113,MATCH($F153,Matches!$B$4:$B$113,0),2)</f>
        <v>W101</v>
      </c>
      <c r="H153" s="578" t="str">
        <f>INDEX(Matches!$B$4:$J$113,MATCH($F153,Matches!$B$4:$B$113,0),3)</f>
        <v>W102</v>
      </c>
      <c r="I153" s="578" t="str">
        <f>IFERROR(VLOOKUP($F153,Matches!$B$4:$H$113,7,0),"")</f>
        <v>New York/New Jersey</v>
      </c>
      <c r="J153" s="811"/>
      <c r="K153" s="812"/>
    </row>
    <row r="154" spans="1:11" ht="15.75" thickTop="1"/>
    <row r="155" spans="1:11"/>
    <row r="156" spans="1:11"/>
    <row r="157" spans="1:11"/>
    <row r="158" spans="1:11"/>
    <row r="159" spans="1:11"/>
    <row r="160" spans="1:11"/>
    <row r="161"/>
    <row r="162"/>
    <row r="163"/>
    <row r="164"/>
    <row r="165"/>
    <row r="166"/>
  </sheetData>
  <sheetProtection selectLockedCells="1"/>
  <mergeCells count="4">
    <mergeCell ref="B1:H1"/>
    <mergeCell ref="M2:N2"/>
    <mergeCell ref="G3:H3"/>
    <mergeCell ref="M3:N5"/>
  </mergeCells>
  <conditionalFormatting sqref="B138:B143 B4:B78 B145:B148 B150:B151 B153">
    <cfRule type="expression" dxfId="1234" priority="71">
      <formula>INT(B4)=TODAY()</formula>
    </cfRule>
  </conditionalFormatting>
  <conditionalFormatting sqref="B99:B111">
    <cfRule type="expression" dxfId="1233" priority="66">
      <formula>INT(B99)=TODAY()</formula>
    </cfRule>
  </conditionalFormatting>
  <conditionalFormatting sqref="B112:B123">
    <cfRule type="expression" dxfId="1232" priority="61">
      <formula>INT(B112)=TODAY()</formula>
    </cfRule>
  </conditionalFormatting>
  <conditionalFormatting sqref="B125:B136">
    <cfRule type="expression" dxfId="1231" priority="56">
      <formula>INT(B125)=TODAY()</formula>
    </cfRule>
  </conditionalFormatting>
  <conditionalFormatting sqref="B79:B98">
    <cfRule type="expression" dxfId="1230" priority="51">
      <formula>INT(B79)=TODAY()</formula>
    </cfRule>
  </conditionalFormatting>
  <conditionalFormatting sqref="B124">
    <cfRule type="expression" dxfId="1229" priority="21">
      <formula>INT(B124)=TODAY()</formula>
    </cfRule>
  </conditionalFormatting>
  <conditionalFormatting sqref="B137">
    <cfRule type="expression" dxfId="1228" priority="16">
      <formula>INT(B137)=TODAY()</formula>
    </cfRule>
  </conditionalFormatting>
  <conditionalFormatting sqref="B144">
    <cfRule type="expression" dxfId="1227" priority="11">
      <formula>INT(B144)=TODAY()</formula>
    </cfRule>
  </conditionalFormatting>
  <conditionalFormatting sqref="B149">
    <cfRule type="expression" dxfId="1226" priority="6">
      <formula>INT(B149)=TODAY()</formula>
    </cfRule>
  </conditionalFormatting>
  <conditionalFormatting sqref="B152">
    <cfRule type="expression" dxfId="1225" priority="1">
      <formula>INT(B152)=TODAY()</formula>
    </cfRule>
  </conditionalFormatting>
  <conditionalFormatting sqref="D4:E153">
    <cfRule type="expression" dxfId="1224" priority="72">
      <formula>AND(D4=$N$10,D4&lt;&gt;"")</formula>
    </cfRule>
    <cfRule type="expression" dxfId="1223" priority="73">
      <formula>AND(D4=$N$9,D4&lt;&gt;"")</formula>
    </cfRule>
    <cfRule type="expression" dxfId="1222" priority="74">
      <formula>AND(D4=$N$8,D4&lt;&gt;"")</formula>
    </cfRule>
    <cfRule type="expression" dxfId="1221" priority="75">
      <formula>AND(D4=$N$7,D4&lt;&gt;"")</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1314" t="str">
        <f>Language!$E$123</f>
        <v>Fair-Play</v>
      </c>
      <c r="C2" s="1315"/>
      <c r="D2" s="1315"/>
      <c r="E2" s="1315"/>
      <c r="F2" s="1315"/>
    </row>
    <row r="3" spans="1:9" ht="75.75" customHeight="1">
      <c r="B3" s="1316" t="str">
        <f>Language!$E$193</f>
        <v>Hier kunnen de strafpunten voor de fair play-beoordeling worden ingevoerd.</v>
      </c>
      <c r="C3" s="1316"/>
      <c r="D3" s="1316"/>
      <c r="E3" s="1316"/>
      <c r="F3" s="1316"/>
    </row>
    <row r="4" spans="1:9" ht="18" customHeight="1">
      <c r="B4" s="67"/>
      <c r="C4" s="67"/>
      <c r="D4" s="67"/>
      <c r="E4" s="67"/>
      <c r="F4" s="67"/>
    </row>
    <row r="5" spans="1:9" ht="19.5" thickBot="1">
      <c r="A5" s="215" t="s">
        <v>24</v>
      </c>
      <c r="B5" s="393" t="str">
        <f>Language!$E$130&amp;" "&amp;A5</f>
        <v>Groep A</v>
      </c>
      <c r="C5" s="864" t="str">
        <f>Language!$E$174</f>
        <v>Beoordeling</v>
      </c>
      <c r="D5" s="215" t="s">
        <v>22</v>
      </c>
      <c r="E5" s="393" t="str">
        <f>Language!$E$130&amp;" "&amp;D5</f>
        <v>Groep E</v>
      </c>
      <c r="F5" s="864" t="str">
        <f>Language!$E$174</f>
        <v>Beoordeling</v>
      </c>
      <c r="G5" s="215" t="s">
        <v>32</v>
      </c>
      <c r="H5" s="393" t="str">
        <f>Language!$E$130&amp;" "&amp;G5</f>
        <v>Groep I</v>
      </c>
      <c r="I5" s="864" t="str">
        <f>Language!$E$174</f>
        <v>Beoordeling</v>
      </c>
    </row>
    <row r="6" spans="1:9">
      <c r="B6" s="28" t="str">
        <f>VLOOKUP(A5&amp;"1",Groups!$B$7:$D$65,3,0)</f>
        <v>Mexico</v>
      </c>
      <c r="C6" s="68">
        <v>0</v>
      </c>
      <c r="E6" s="28" t="str">
        <f>VLOOKUP(D5&amp;"1",Groups!$B$7:$D$65,3,0)</f>
        <v>Duitsland</v>
      </c>
      <c r="F6" s="68">
        <v>0</v>
      </c>
      <c r="H6" s="28" t="str">
        <f>VLOOKUP(G5&amp;"1",Groups!$B$7:$D$65,3,0)</f>
        <v>Frankrijk</v>
      </c>
      <c r="I6" s="68">
        <v>0</v>
      </c>
    </row>
    <row r="7" spans="1:9">
      <c r="B7" s="28" t="str">
        <f>VLOOKUP(A5&amp;"2",Groups!$B$7:$D$65,3,0)</f>
        <v>Zuid-Afrika</v>
      </c>
      <c r="C7" s="69">
        <v>0</v>
      </c>
      <c r="E7" s="28" t="str">
        <f>VLOOKUP(D5&amp;"2",Groups!$B$7:$D$65,3,0)</f>
        <v>Curacao</v>
      </c>
      <c r="F7" s="69">
        <v>0</v>
      </c>
      <c r="H7" s="28" t="str">
        <f>VLOOKUP(G5&amp;"2",Groups!$B$7:$D$65,3,0)</f>
        <v>Senegal</v>
      </c>
      <c r="I7" s="69">
        <v>0</v>
      </c>
    </row>
    <row r="8" spans="1:9">
      <c r="B8" s="28" t="str">
        <f>VLOOKUP(A5&amp;"3",Groups!$B$7:$D$65,3,0)</f>
        <v>Zuid-Korea</v>
      </c>
      <c r="C8" s="69">
        <v>0</v>
      </c>
      <c r="E8" s="28" t="str">
        <f>VLOOKUP(D5&amp;"3",Groups!$B$7:$D$65,3,0)</f>
        <v>Ivoorkust</v>
      </c>
      <c r="F8" s="69">
        <v>0</v>
      </c>
      <c r="H8" s="28" t="str">
        <f>VLOOKUP(G5&amp;"3",Groups!$B$7:$D$65,3,0)</f>
        <v>Irak</v>
      </c>
      <c r="I8" s="69">
        <v>0</v>
      </c>
    </row>
    <row r="9" spans="1:9">
      <c r="B9" s="28" t="str">
        <f>VLOOKUP(A5&amp;"4",Groups!$B$7:$D$65,3,0)</f>
        <v>Tsjechië</v>
      </c>
      <c r="C9" s="69">
        <v>0</v>
      </c>
      <c r="E9" s="28" t="str">
        <f>VLOOKUP(D5&amp;"4",Groups!$B$7:$D$65,3,0)</f>
        <v>Ecuador</v>
      </c>
      <c r="F9" s="69">
        <v>0</v>
      </c>
      <c r="H9" s="28" t="str">
        <f>VLOOKUP(G5&amp;"4",Groups!$B$7:$D$65,3,0)</f>
        <v>Noorwegen</v>
      </c>
      <c r="I9" s="69">
        <v>0</v>
      </c>
    </row>
    <row r="10" spans="1:9">
      <c r="C10" s="26"/>
      <c r="F10" s="26"/>
      <c r="I10" s="382"/>
    </row>
    <row r="11" spans="1:9" ht="19.5" thickBot="1">
      <c r="A11" s="215" t="s">
        <v>20</v>
      </c>
      <c r="B11" s="393" t="str">
        <f>Language!$E$130&amp;" "&amp;A11</f>
        <v>Groep B</v>
      </c>
      <c r="C11" s="864" t="str">
        <f>Language!$E$174</f>
        <v>Beoordeling</v>
      </c>
      <c r="D11" s="215" t="s">
        <v>23</v>
      </c>
      <c r="E11" s="393" t="str">
        <f>Language!$E$130&amp;" "&amp;D11</f>
        <v>Groep F</v>
      </c>
      <c r="F11" s="864" t="str">
        <f>Language!$E$174</f>
        <v>Beoordeling</v>
      </c>
      <c r="G11" s="215" t="s">
        <v>841</v>
      </c>
      <c r="H11" s="393" t="str">
        <f>Language!$E$130&amp;" "&amp;G11</f>
        <v>Groep J</v>
      </c>
      <c r="I11" s="864" t="str">
        <f>Language!$E$174</f>
        <v>Beoordeling</v>
      </c>
    </row>
    <row r="12" spans="1:9">
      <c r="B12" s="28" t="str">
        <f>VLOOKUP(A11&amp;"1",Groups!$B$7:$D$65,3,0)</f>
        <v>Canada</v>
      </c>
      <c r="C12" s="68">
        <v>0</v>
      </c>
      <c r="E12" s="28" t="str">
        <f>VLOOKUP(D11&amp;"1",Groups!$B$7:$D$65,3,0)</f>
        <v>Nederland</v>
      </c>
      <c r="F12" s="68">
        <v>0</v>
      </c>
      <c r="H12" s="28" t="str">
        <f>VLOOKUP(G11&amp;"1",Groups!$B$7:$D$65,3,0)</f>
        <v>Argentinië</v>
      </c>
      <c r="I12" s="68">
        <v>0</v>
      </c>
    </row>
    <row r="13" spans="1:9">
      <c r="B13" s="28" t="str">
        <f>VLOOKUP(A11&amp;"2",Groups!$B$7:$D$65,3,0)</f>
        <v>Bosnië/Herz.</v>
      </c>
      <c r="C13" s="69">
        <v>0</v>
      </c>
      <c r="E13" s="28" t="str">
        <f>VLOOKUP(D11&amp;"2",Groups!$B$7:$D$65,3,0)</f>
        <v>Japan</v>
      </c>
      <c r="F13" s="69">
        <v>0</v>
      </c>
      <c r="H13" s="28" t="str">
        <f>VLOOKUP(G11&amp;"2",Groups!$B$7:$D$65,3,0)</f>
        <v>Algerije</v>
      </c>
      <c r="I13" s="69">
        <v>0</v>
      </c>
    </row>
    <row r="14" spans="1:9">
      <c r="B14" s="28" t="str">
        <f>VLOOKUP(A11&amp;"3",Groups!$B$7:$D$65,3,0)</f>
        <v>Qatar</v>
      </c>
      <c r="C14" s="69">
        <v>0</v>
      </c>
      <c r="E14" s="28" t="str">
        <f>VLOOKUP(D11&amp;"3",Groups!$B$7:$D$65,3,0)</f>
        <v>Zweden</v>
      </c>
      <c r="F14" s="69">
        <v>0</v>
      </c>
      <c r="H14" s="28" t="str">
        <f>VLOOKUP(G11&amp;"3",Groups!$B$7:$D$65,3,0)</f>
        <v>Oostenrijk</v>
      </c>
      <c r="I14" s="69">
        <v>0</v>
      </c>
    </row>
    <row r="15" spans="1:9">
      <c r="B15" s="28" t="str">
        <f>VLOOKUP(A11&amp;"4",Groups!$B$7:$D$65,3,0)</f>
        <v>Zwitserland</v>
      </c>
      <c r="C15" s="69">
        <v>0</v>
      </c>
      <c r="E15" s="28" t="str">
        <f>VLOOKUP(D11&amp;"4",Groups!$B$7:$D$65,3,0)</f>
        <v>Tunesië</v>
      </c>
      <c r="F15" s="69">
        <v>0</v>
      </c>
      <c r="H15" s="28" t="str">
        <f>VLOOKUP(G11&amp;"4",Groups!$B$7:$D$65,3,0)</f>
        <v>Jordanië</v>
      </c>
      <c r="I15" s="69">
        <v>0</v>
      </c>
    </row>
    <row r="16" spans="1:9">
      <c r="C16" s="26"/>
      <c r="F16" s="26"/>
      <c r="I16" s="382"/>
    </row>
    <row r="17" spans="1:9" ht="19.5" thickBot="1">
      <c r="A17" s="215" t="s">
        <v>21</v>
      </c>
      <c r="B17" s="393" t="str">
        <f>Language!$E$130&amp;" "&amp;A17</f>
        <v>Groep C</v>
      </c>
      <c r="C17" s="864" t="str">
        <f>Language!$E$174</f>
        <v>Beoordeling</v>
      </c>
      <c r="D17" s="215" t="s">
        <v>272</v>
      </c>
      <c r="E17" s="393" t="str">
        <f>Language!$E$130&amp;" "&amp;D17</f>
        <v>Groep G</v>
      </c>
      <c r="F17" s="864" t="str">
        <f>Language!$E$174</f>
        <v>Beoordeling</v>
      </c>
      <c r="G17" s="215" t="s">
        <v>33</v>
      </c>
      <c r="H17" s="393" t="str">
        <f>Language!$E$130&amp;" "&amp;G17</f>
        <v>Groep K</v>
      </c>
      <c r="I17" s="864" t="str">
        <f>Language!$E$174</f>
        <v>Beoordeling</v>
      </c>
    </row>
    <row r="18" spans="1:9">
      <c r="B18" s="28" t="str">
        <f>VLOOKUP(A17&amp;"1",Groups!$B$7:$D$65,3,0)</f>
        <v>Brazilië</v>
      </c>
      <c r="C18" s="68">
        <v>0</v>
      </c>
      <c r="E18" s="28" t="str">
        <f>VLOOKUP(D17&amp;"1",Groups!$B$7:$D$65,3,0)</f>
        <v>België</v>
      </c>
      <c r="F18" s="68">
        <v>0</v>
      </c>
      <c r="H18" s="28" t="str">
        <f>VLOOKUP(G17&amp;"1",Groups!$B$7:$D$65,3,0)</f>
        <v>Portugal</v>
      </c>
      <c r="I18" s="68">
        <v>0</v>
      </c>
    </row>
    <row r="19" spans="1:9">
      <c r="B19" s="28" t="str">
        <f>VLOOKUP(A17&amp;"2",Groups!$B$7:$D$65,3,0)</f>
        <v>Marokko</v>
      </c>
      <c r="C19" s="69">
        <v>0</v>
      </c>
      <c r="E19" s="28" t="str">
        <f>VLOOKUP(D17&amp;"2",Groups!$B$7:$D$65,3,0)</f>
        <v>Egypte</v>
      </c>
      <c r="F19" s="69">
        <v>0</v>
      </c>
      <c r="H19" s="28" t="str">
        <f>VLOOKUP(G17&amp;"2",Groups!$B$7:$D$65,3,0)</f>
        <v>Congo</v>
      </c>
      <c r="I19" s="69">
        <v>0</v>
      </c>
    </row>
    <row r="20" spans="1:9">
      <c r="B20" s="28" t="str">
        <f>VLOOKUP(A17&amp;"3",Groups!$B$7:$D$65,3,0)</f>
        <v>Haïti</v>
      </c>
      <c r="C20" s="69">
        <v>0</v>
      </c>
      <c r="E20" s="28" t="str">
        <f>VLOOKUP(D17&amp;"3",Groups!$B$7:$D$65,3,0)</f>
        <v>Iran</v>
      </c>
      <c r="F20" s="69">
        <v>0</v>
      </c>
      <c r="H20" s="28" t="str">
        <f>VLOOKUP(G17&amp;"3",Groups!$B$7:$D$65,3,0)</f>
        <v>Oezbekistan</v>
      </c>
      <c r="I20" s="69">
        <v>0</v>
      </c>
    </row>
    <row r="21" spans="1:9">
      <c r="B21" s="28" t="str">
        <f>VLOOKUP(A17&amp;"4",Groups!$B$7:$D$65,3,0)</f>
        <v>Schotland</v>
      </c>
      <c r="C21" s="69">
        <v>0</v>
      </c>
      <c r="E21" s="28" t="str">
        <f>VLOOKUP(D17&amp;"4",Groups!$B$7:$D$65,3,0)</f>
        <v>Nieuw-Zeeland</v>
      </c>
      <c r="F21" s="69">
        <v>0</v>
      </c>
      <c r="H21" s="28" t="str">
        <f>VLOOKUP(G17&amp;"4",Groups!$B$7:$D$65,3,0)</f>
        <v>Colombia</v>
      </c>
      <c r="I21" s="69">
        <v>0</v>
      </c>
    </row>
    <row r="22" spans="1:9">
      <c r="C22" s="26"/>
      <c r="F22" s="26"/>
      <c r="I22" s="382"/>
    </row>
    <row r="23" spans="1:9" ht="19.5" thickBot="1">
      <c r="A23" s="215" t="s">
        <v>25</v>
      </c>
      <c r="B23" s="393" t="str">
        <f>Language!$E$130&amp;" "&amp;A23</f>
        <v>Groep D</v>
      </c>
      <c r="C23" s="864" t="str">
        <f>Language!$E$174</f>
        <v>Beoordeling</v>
      </c>
      <c r="D23" s="215" t="s">
        <v>31</v>
      </c>
      <c r="E23" s="393" t="str">
        <f>Language!$E$130&amp;" "&amp;D23</f>
        <v>Groep H</v>
      </c>
      <c r="F23" s="864" t="str">
        <f>Language!$E$174</f>
        <v>Beoordeling</v>
      </c>
      <c r="G23" s="215" t="s">
        <v>34</v>
      </c>
      <c r="H23" s="393" t="str">
        <f>Language!$E$130&amp;" "&amp;G23</f>
        <v>Groep L</v>
      </c>
      <c r="I23" s="864" t="str">
        <f>Language!$E$174</f>
        <v>Beoordeling</v>
      </c>
    </row>
    <row r="24" spans="1:9">
      <c r="B24" s="28" t="str">
        <f>VLOOKUP(A23&amp;"1",Groups!$B$7:$D$65,3,0)</f>
        <v>USA</v>
      </c>
      <c r="C24" s="68">
        <v>0</v>
      </c>
      <c r="E24" s="28" t="str">
        <f>VLOOKUP(D23&amp;"1",Groups!$B$7:$D$65,3,0)</f>
        <v>Spanje</v>
      </c>
      <c r="F24" s="68">
        <v>0</v>
      </c>
      <c r="H24" s="28" t="str">
        <f>VLOOKUP(G23&amp;"1",Groups!$B$7:$D$65,3,0)</f>
        <v>Engeland</v>
      </c>
      <c r="I24" s="68">
        <v>0</v>
      </c>
    </row>
    <row r="25" spans="1:9">
      <c r="B25" s="28" t="str">
        <f>VLOOKUP(A23&amp;"2",Groups!$B$7:$D$65,3,0)</f>
        <v>Paraguay</v>
      </c>
      <c r="C25" s="69">
        <v>0</v>
      </c>
      <c r="E25" s="28" t="str">
        <f>VLOOKUP(D23&amp;"2",Groups!$B$7:$D$65,3,0)</f>
        <v>Kaapverdië</v>
      </c>
      <c r="F25" s="69">
        <v>0</v>
      </c>
      <c r="H25" s="28" t="str">
        <f>VLOOKUP(G23&amp;"2",Groups!$B$7:$D$65,3,0)</f>
        <v>Kroatië</v>
      </c>
      <c r="I25" s="69">
        <v>0</v>
      </c>
    </row>
    <row r="26" spans="1:9">
      <c r="B26" s="28" t="str">
        <f>VLOOKUP(A23&amp;"3",Groups!$B$7:$D$65,3,0)</f>
        <v>Australië</v>
      </c>
      <c r="C26" s="69">
        <v>0</v>
      </c>
      <c r="E26" s="28" t="str">
        <f>VLOOKUP(D23&amp;"3",Groups!$B$7:$D$65,3,0)</f>
        <v>Saoedi-Arabië</v>
      </c>
      <c r="F26" s="69">
        <v>0</v>
      </c>
      <c r="H26" s="28" t="str">
        <f>VLOOKUP(G23&amp;"3",Groups!$B$7:$D$65,3,0)</f>
        <v>Ghana</v>
      </c>
      <c r="I26" s="69">
        <v>0</v>
      </c>
    </row>
    <row r="27" spans="1:9">
      <c r="B27" s="28" t="str">
        <f>VLOOKUP(A23&amp;"4",Groups!$B$7:$D$65,3,0)</f>
        <v>Turkije</v>
      </c>
      <c r="C27" s="69">
        <v>0</v>
      </c>
      <c r="E27" s="28" t="str">
        <f>VLOOKUP(D23&amp;"4",Groups!$B$7:$D$65,3,0)</f>
        <v>Uruguay</v>
      </c>
      <c r="F27" s="69">
        <v>0</v>
      </c>
      <c r="H27" s="28" t="str">
        <f>VLOOKUP(G23&amp;"4",Groups!$B$7:$D$65,3,0)</f>
        <v>Panama</v>
      </c>
      <c r="I27" s="69">
        <v>0</v>
      </c>
    </row>
    <row r="28" spans="1:9"/>
    <row r="29" spans="1:9"/>
    <row r="30" spans="1:9"/>
    <row r="31" spans="1:9"/>
  </sheetData>
  <sheetProtection selectLockedCells="1"/>
  <mergeCells count="2">
    <mergeCell ref="B2:F2"/>
    <mergeCell ref="B3:F3"/>
  </mergeCells>
  <conditionalFormatting sqref="C6:C9 C12:C15 C18:C21 C24:C27 F6:F9 F12:F15 F18:F21 F24:F27 I6:I9 I12:I15 I18:I21 I24:I27">
    <cfRule type="cellIs" dxfId="1220"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822"/>
      <c r="D1" s="865" t="str">
        <f>Language!$E$122</f>
        <v>Onderscheidend vergelijk</v>
      </c>
    </row>
    <row r="2" spans="2:49"/>
    <row r="3" spans="2:49" ht="18.75">
      <c r="D3" s="853" t="str">
        <f>Language!$E$140</f>
        <v>Overzichtstabel</v>
      </c>
      <c r="O3" s="853" t="str">
        <f>Language!$E$137</f>
        <v>onderlinge resultaten 1</v>
      </c>
      <c r="Z3" s="853" t="str">
        <f>Language!$E$138</f>
        <v>onderlinge resultaten 2</v>
      </c>
      <c r="AK3" s="853" t="str">
        <f>Language!$E$139</f>
        <v>onderlinge resultaten 3</v>
      </c>
    </row>
    <row r="4" spans="2:49" ht="15.75" thickBot="1">
      <c r="D4" s="854">
        <v>7</v>
      </c>
      <c r="Z4" s="885" t="str">
        <f>IF(COUNTBLANK(CalcA!$BN$14:$BN$17)&lt;4,Language!$E$136,"")</f>
        <v/>
      </c>
      <c r="AK4" s="885" t="str">
        <f>IF(COUNTBLANK(CalcA!$BZ$14:$BZ$17)&lt;4,Language!$E$136,"")</f>
        <v/>
      </c>
    </row>
    <row r="5" spans="2:49" ht="24.75" thickTop="1">
      <c r="B5" s="859" t="s">
        <v>24</v>
      </c>
      <c r="C5" s="828"/>
      <c r="D5" s="841"/>
      <c r="E5" s="852" t="str">
        <f>Language!$E$131</f>
        <v>Ptn.</v>
      </c>
      <c r="F5" s="852" t="str">
        <f>Language!$E$132</f>
        <v>DS</v>
      </c>
      <c r="G5" s="1317" t="str">
        <f>Language!$E$133</f>
        <v>Doelpunten</v>
      </c>
      <c r="H5" s="1318"/>
      <c r="I5" s="1318"/>
      <c r="J5" s="844" t="str">
        <f t="array" ref="J5:M5">LEFT(CalcA!$H$21:$K$21,$D$4)</f>
        <v>Mexico</v>
      </c>
      <c r="K5" s="842" t="str">
        <v>Zuid-Ko</v>
      </c>
      <c r="L5" s="842" t="str">
        <v>Tsjechi</v>
      </c>
      <c r="M5" s="843" t="str">
        <v>Zuid-Af</v>
      </c>
      <c r="O5" s="841"/>
      <c r="P5" s="852" t="str">
        <f>Language!$E$131</f>
        <v>Ptn.</v>
      </c>
      <c r="Q5" s="852" t="str">
        <f>Language!$E$132</f>
        <v>DS</v>
      </c>
      <c r="R5" s="1317" t="str">
        <f>Language!$E$133</f>
        <v>Doelpunten</v>
      </c>
      <c r="S5" s="1318"/>
      <c r="T5" s="1318"/>
      <c r="U5" s="844" t="str">
        <f t="array" ref="U5:X5">LEFT(CalcA!$BE$13:$BH$13,$D$4)</f>
        <v>Mexico</v>
      </c>
      <c r="V5" s="842" t="str">
        <v>Zuid-Ko</v>
      </c>
      <c r="W5" s="842" t="str">
        <v>Tsjechi</v>
      </c>
      <c r="X5" s="843" t="str">
        <v>Zuid-Af</v>
      </c>
      <c r="Z5" s="841"/>
      <c r="AA5" s="852" t="str">
        <f>Language!$E$131</f>
        <v>Ptn.</v>
      </c>
      <c r="AB5" s="852" t="str">
        <f>Language!$E$132</f>
        <v>DS</v>
      </c>
      <c r="AC5" s="1317" t="str">
        <f>Language!$E$133</f>
        <v>Doelpunten</v>
      </c>
      <c r="AD5" s="1318"/>
      <c r="AE5" s="1318"/>
      <c r="AF5" s="844" t="str">
        <f t="array" ref="AF5:AI5">IF(COUNTBLANK(CalcA!$AZ$22:$AZ$25)&lt;4,LEFT(CalcA!$BE$21:$BH$21,$D$4),LEFT(CalcA!$BS$13:$BV$13,$D$4))</f>
        <v/>
      </c>
      <c r="AG5" s="842" t="str">
        <v/>
      </c>
      <c r="AH5" s="842" t="str">
        <v/>
      </c>
      <c r="AI5" s="843" t="str">
        <v/>
      </c>
      <c r="AK5" s="841"/>
      <c r="AL5" s="852" t="str">
        <f>Language!$E$131</f>
        <v>Ptn.</v>
      </c>
      <c r="AM5" s="852" t="str">
        <f>Language!$E$132</f>
        <v>DS</v>
      </c>
      <c r="AN5" s="1317" t="str">
        <f>Language!$E$133</f>
        <v>Doelpunten</v>
      </c>
      <c r="AO5" s="1318"/>
      <c r="AP5" s="1318"/>
      <c r="AQ5" s="844" t="str">
        <f t="array" ref="AQ5:AT5">LEFT(CalcA!$CE$13:$CH$13,$D$4)</f>
        <v/>
      </c>
      <c r="AR5" s="842" t="str">
        <v/>
      </c>
      <c r="AS5" s="842" t="str">
        <v/>
      </c>
      <c r="AT5" s="843" t="str">
        <v/>
      </c>
      <c r="AV5" s="867" t="str">
        <f>Language!$E$123</f>
        <v>Fair-Play</v>
      </c>
      <c r="AW5" s="868" t="str">
        <f>Language!$E$186</f>
        <v>FIFA-rank.</v>
      </c>
    </row>
    <row r="6" spans="2:49">
      <c r="B6" s="862" t="str">
        <f t="array" ref="B6:B9">IF(CalcA!$M$22:$M$25,"•","")</f>
        <v>•</v>
      </c>
      <c r="D6" s="856" t="str">
        <f t="array" ref="D6:D9">CalcA!$D$22:$D$25</f>
        <v>Mexico</v>
      </c>
      <c r="E6" s="838">
        <f t="array" ref="E6:E9">CalcA!$E$22:$E$25</f>
        <v>3</v>
      </c>
      <c r="F6" s="838">
        <f>G6-I6</f>
        <v>0</v>
      </c>
      <c r="G6" s="839">
        <f t="array" ref="G6:G9">CalcA!$F$22:$F$25</f>
        <v>0</v>
      </c>
      <c r="H6" s="851" t="str">
        <f>Language!$E$197</f>
        <v xml:space="preserve"> : </v>
      </c>
      <c r="I6" s="848">
        <f t="array" ref="I6:I9">CalcA!$G$22:$G$25</f>
        <v>0</v>
      </c>
      <c r="J6" s="845" t="str">
        <f t="array" ref="J6:M9">CalcA!$H$22:$K$25</f>
        <v/>
      </c>
      <c r="K6" s="838" t="str">
        <v>0 : 0</v>
      </c>
      <c r="L6" s="838" t="str">
        <v>0 : 0</v>
      </c>
      <c r="M6" s="840" t="str">
        <v>0 : 0</v>
      </c>
      <c r="O6" s="856" t="str">
        <f t="array" ref="O6:O9">CalcA!$AZ$14:$AZ$17</f>
        <v>Mexico</v>
      </c>
      <c r="P6" s="838">
        <f t="array" ref="P6:P9">CalcA!$BA$14:$BA$17</f>
        <v>3</v>
      </c>
      <c r="Q6" s="838">
        <f t="array" ref="Q6:Q9">CalcA!$BB$14:$BB$17</f>
        <v>0</v>
      </c>
      <c r="R6" s="839">
        <f t="array" ref="R6:R9">CalcA!$BC$14:$BC$17</f>
        <v>0</v>
      </c>
      <c r="S6" s="851" t="str">
        <f>Language!$E$197</f>
        <v xml:space="preserve"> : </v>
      </c>
      <c r="T6" s="848">
        <f>IF(O6="","",R6-Q6)</f>
        <v>0</v>
      </c>
      <c r="U6" s="845" t="str">
        <f t="array" ref="U6:X9">CalcA!$BE$14:$BH$17</f>
        <v/>
      </c>
      <c r="V6" s="838" t="str">
        <v>0 : 0</v>
      </c>
      <c r="W6" s="838" t="str">
        <v>0 : 0</v>
      </c>
      <c r="X6" s="840" t="str">
        <v>0 : 0</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c r="B7" s="862" t="str">
        <v>•</v>
      </c>
      <c r="D7" s="857" t="str">
        <v>Zuid-Korea</v>
      </c>
      <c r="E7" s="829">
        <v>3</v>
      </c>
      <c r="F7" s="829">
        <f t="shared" ref="F7:F9" si="1">G7-I7</f>
        <v>0</v>
      </c>
      <c r="G7" s="834">
        <v>0</v>
      </c>
      <c r="H7" s="836" t="str">
        <f>Language!$E$197</f>
        <v xml:space="preserve"> : </v>
      </c>
      <c r="I7" s="849">
        <v>0</v>
      </c>
      <c r="J7" s="846" t="str">
        <v>0 : 0</v>
      </c>
      <c r="K7" s="830" t="str">
        <v/>
      </c>
      <c r="L7" s="829" t="str">
        <v>0 : 0</v>
      </c>
      <c r="M7" s="831" t="str">
        <v>0 : 0</v>
      </c>
      <c r="O7" s="857" t="str">
        <v>Zuid-Korea</v>
      </c>
      <c r="P7" s="829">
        <v>3</v>
      </c>
      <c r="Q7" s="829">
        <v>0</v>
      </c>
      <c r="R7" s="834">
        <v>0</v>
      </c>
      <c r="S7" s="836" t="str">
        <f>Language!$E$197</f>
        <v xml:space="preserve"> : </v>
      </c>
      <c r="T7" s="849">
        <f t="shared" ref="T7:T9" si="2">IF(O7="","",R7-Q7)</f>
        <v>0</v>
      </c>
      <c r="U7" s="846" t="str">
        <v>0 : 0</v>
      </c>
      <c r="V7" s="830" t="str">
        <v/>
      </c>
      <c r="W7" s="829" t="str">
        <v>0 : 0</v>
      </c>
      <c r="X7" s="831" t="str">
        <v>0 : 0</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25</v>
      </c>
    </row>
    <row r="8" spans="2:49">
      <c r="B8" s="862" t="str">
        <v>•</v>
      </c>
      <c r="D8" s="857" t="str">
        <v>Tsjechië</v>
      </c>
      <c r="E8" s="829">
        <v>3</v>
      </c>
      <c r="F8" s="829">
        <f t="shared" si="1"/>
        <v>0</v>
      </c>
      <c r="G8" s="834">
        <v>0</v>
      </c>
      <c r="H8" s="836" t="str">
        <f>Language!$E$197</f>
        <v xml:space="preserve"> : </v>
      </c>
      <c r="I8" s="849">
        <v>0</v>
      </c>
      <c r="J8" s="846" t="str">
        <v>0 : 0</v>
      </c>
      <c r="K8" s="829" t="str">
        <v>0 : 0</v>
      </c>
      <c r="L8" s="830" t="str">
        <v/>
      </c>
      <c r="M8" s="831" t="str">
        <v>0 : 0</v>
      </c>
      <c r="O8" s="857" t="str">
        <v>Tsjechië</v>
      </c>
      <c r="P8" s="829">
        <v>3</v>
      </c>
      <c r="Q8" s="829">
        <v>0</v>
      </c>
      <c r="R8" s="834">
        <v>0</v>
      </c>
      <c r="S8" s="836" t="str">
        <f>Language!$E$197</f>
        <v xml:space="preserve"> : </v>
      </c>
      <c r="T8" s="849">
        <f t="shared" si="2"/>
        <v>0</v>
      </c>
      <c r="U8" s="846" t="str">
        <v>0 : 0</v>
      </c>
      <c r="V8" s="829" t="str">
        <v>0 : 0</v>
      </c>
      <c r="W8" s="830" t="str">
        <v/>
      </c>
      <c r="X8" s="831" t="str">
        <v>0 : 0</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41</v>
      </c>
    </row>
    <row r="9" spans="2:49" ht="15.75" thickBot="1">
      <c r="B9" s="862" t="str">
        <v>•</v>
      </c>
      <c r="D9" s="858" t="str">
        <v>Zuid-Afrika</v>
      </c>
      <c r="E9" s="832">
        <v>3</v>
      </c>
      <c r="F9" s="832">
        <f t="shared" si="1"/>
        <v>0</v>
      </c>
      <c r="G9" s="835">
        <v>0</v>
      </c>
      <c r="H9" s="837" t="str">
        <f>Language!$E$197</f>
        <v xml:space="preserve"> : </v>
      </c>
      <c r="I9" s="850">
        <v>0</v>
      </c>
      <c r="J9" s="847" t="str">
        <v>0 : 0</v>
      </c>
      <c r="K9" s="832" t="str">
        <v>0 : 0</v>
      </c>
      <c r="L9" s="832" t="str">
        <v>0 : 0</v>
      </c>
      <c r="M9" s="833" t="str">
        <v/>
      </c>
      <c r="O9" s="858" t="str">
        <v>Zuid-Afrika</v>
      </c>
      <c r="P9" s="832">
        <v>3</v>
      </c>
      <c r="Q9" s="832">
        <v>0</v>
      </c>
      <c r="R9" s="835">
        <v>0</v>
      </c>
      <c r="S9" s="837" t="str">
        <f>Language!$E$197</f>
        <v xml:space="preserve"> : </v>
      </c>
      <c r="T9" s="850">
        <f t="shared" si="2"/>
        <v>0</v>
      </c>
      <c r="U9" s="847" t="str">
        <v>0 : 0</v>
      </c>
      <c r="V9" s="832" t="str">
        <v>0 : 0</v>
      </c>
      <c r="W9" s="832" t="str">
        <v>0 : 0</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60</v>
      </c>
    </row>
    <row r="10" spans="2:49" ht="15.75" thickTop="1"/>
    <row r="11" spans="2:49"/>
    <row r="12" spans="2:49" ht="15.75" thickBot="1">
      <c r="D12" s="855"/>
      <c r="Z12" s="885" t="str">
        <f>IF(COUNTBLANK(CalcB!$BN$14:$BN$17)&lt;4,Language!$E$136,"")</f>
        <v/>
      </c>
      <c r="AK12" s="885" t="str">
        <f>IF(COUNTBLANK(CalcB!$BZ$14:$BZ$17)&lt;4,Language!$E$136,"")</f>
        <v/>
      </c>
    </row>
    <row r="13" spans="2:49" ht="24.75" thickTop="1">
      <c r="B13" s="859" t="s">
        <v>20</v>
      </c>
      <c r="C13" s="828"/>
      <c r="D13" s="841"/>
      <c r="E13" s="852" t="str">
        <f>Language!$E$131</f>
        <v>Ptn.</v>
      </c>
      <c r="F13" s="852" t="str">
        <f>Language!$E$132</f>
        <v>DS</v>
      </c>
      <c r="G13" s="1317" t="str">
        <f>Language!$E$133</f>
        <v>Doelpunten</v>
      </c>
      <c r="H13" s="1318"/>
      <c r="I13" s="1318"/>
      <c r="J13" s="844" t="str">
        <f t="array" ref="J13:M13">LEFT(CalcB!$H$21:$K$21,$D$4)</f>
        <v>Zwitser</v>
      </c>
      <c r="K13" s="842" t="str">
        <v>Canada</v>
      </c>
      <c r="L13" s="842" t="str">
        <v>Qatar</v>
      </c>
      <c r="M13" s="843" t="str">
        <v>Bosnië/</v>
      </c>
      <c r="O13" s="841"/>
      <c r="P13" s="852" t="str">
        <f>Language!$E$131</f>
        <v>Ptn.</v>
      </c>
      <c r="Q13" s="852" t="str">
        <f>Language!$E$132</f>
        <v>DS</v>
      </c>
      <c r="R13" s="1317" t="str">
        <f>Language!$E$133</f>
        <v>Doelpunten</v>
      </c>
      <c r="S13" s="1318"/>
      <c r="T13" s="1318"/>
      <c r="U13" s="844" t="str">
        <f t="array" ref="U13:X13">LEFT(CalcB!$BE$13:$BH$13,$D$4)</f>
        <v>Zwitser</v>
      </c>
      <c r="V13" s="842" t="str">
        <v>Canada</v>
      </c>
      <c r="W13" s="842" t="str">
        <v>Qatar</v>
      </c>
      <c r="X13" s="843" t="str">
        <v>Bosnië/</v>
      </c>
      <c r="Z13" s="841"/>
      <c r="AA13" s="852" t="str">
        <f>Language!$E$131</f>
        <v>Ptn.</v>
      </c>
      <c r="AB13" s="852" t="str">
        <f>Language!$E$132</f>
        <v>DS</v>
      </c>
      <c r="AC13" s="1317" t="str">
        <f>Language!$E$133</f>
        <v>Doelpunten</v>
      </c>
      <c r="AD13" s="1318"/>
      <c r="AE13" s="1318"/>
      <c r="AF13" s="844" t="str">
        <f t="array" ref="AF13:AI13">IF(COUNTBLANK(CalcB!$AZ$22:$AZ$25)&lt;4,LEFT(CalcB!$BE$21:$BH$21,$D$4),LEFT(CalcB!$BS$13:$BV$13,$D$4))</f>
        <v/>
      </c>
      <c r="AG13" s="842" t="str">
        <v/>
      </c>
      <c r="AH13" s="842" t="str">
        <v/>
      </c>
      <c r="AI13" s="843" t="str">
        <v/>
      </c>
      <c r="AK13" s="841"/>
      <c r="AL13" s="852" t="str">
        <f>Language!$E$131</f>
        <v>Ptn.</v>
      </c>
      <c r="AM13" s="852" t="str">
        <f>Language!$E$132</f>
        <v>DS</v>
      </c>
      <c r="AN13" s="1317" t="str">
        <f>Language!$E$133</f>
        <v>Doelpunten</v>
      </c>
      <c r="AO13" s="1318"/>
      <c r="AP13" s="1318"/>
      <c r="AQ13" s="844" t="str">
        <f t="array" ref="AQ13:AT13">LEFT(CalcB!$CE$13:$CH$13,$D$4)</f>
        <v/>
      </c>
      <c r="AR13" s="842" t="str">
        <v/>
      </c>
      <c r="AS13" s="842" t="str">
        <v/>
      </c>
      <c r="AT13" s="843" t="str">
        <v/>
      </c>
      <c r="AV13" s="867" t="str">
        <f>Language!$E$123</f>
        <v>Fair-Play</v>
      </c>
      <c r="AW13" s="868" t="str">
        <f>Language!$E$186</f>
        <v>FIFA-rank.</v>
      </c>
    </row>
    <row r="14" spans="2:49">
      <c r="B14" s="862" t="str">
        <f t="array" ref="B14:B17">IF(CalcB!$M$22:$M$25,"•","")</f>
        <v>•</v>
      </c>
      <c r="D14" s="856" t="str">
        <f t="array" ref="D14:D17">CalcB!$D$22:$D$25</f>
        <v>Zwitserland</v>
      </c>
      <c r="E14" s="838">
        <f t="array" ref="E14:E17">CalcB!$E$22:$E$25</f>
        <v>3</v>
      </c>
      <c r="F14" s="838">
        <f>G14-I14</f>
        <v>0</v>
      </c>
      <c r="G14" s="839">
        <f t="array" ref="G14:G17">CalcB!$F$22:$F$25</f>
        <v>0</v>
      </c>
      <c r="H14" s="851" t="str">
        <f>Language!$E$197</f>
        <v xml:space="preserve"> : </v>
      </c>
      <c r="I14" s="848">
        <f t="array" ref="I14:I17">CalcB!$G$22:$G$25</f>
        <v>0</v>
      </c>
      <c r="J14" s="845" t="str">
        <f t="array" ref="J14:M17">CalcB!$H$22:$K$25</f>
        <v/>
      </c>
      <c r="K14" s="838" t="str">
        <v>0 : 0</v>
      </c>
      <c r="L14" s="838" t="str">
        <v>0 : 0</v>
      </c>
      <c r="M14" s="840" t="str">
        <v>0 : 0</v>
      </c>
      <c r="O14" s="856" t="str">
        <f t="array" ref="O14:O17">CalcB!$AZ$14:$AZ$17</f>
        <v>Zwitserland</v>
      </c>
      <c r="P14" s="838">
        <f t="array" ref="P14:P17">CalcB!$BA$14:$BA$17</f>
        <v>3</v>
      </c>
      <c r="Q14" s="838">
        <f t="array" ref="Q14:Q17">CalcB!$BB$14:$BB$17</f>
        <v>0</v>
      </c>
      <c r="R14" s="839">
        <f t="array" ref="R14:R17">CalcB!$BC$14:$BC$17</f>
        <v>0</v>
      </c>
      <c r="S14" s="851" t="str">
        <f>Language!$E$197</f>
        <v xml:space="preserve"> : </v>
      </c>
      <c r="T14" s="848">
        <f t="shared" ref="T14:T17" si="4">IF(O14="","",R14-Q14)</f>
        <v>0</v>
      </c>
      <c r="U14" s="845" t="str">
        <f t="array" ref="U14:X17">CalcB!$BE$14:$BH$17</f>
        <v/>
      </c>
      <c r="V14" s="838" t="str">
        <v>0 : 0</v>
      </c>
      <c r="W14" s="838" t="str">
        <v>0 : 0</v>
      </c>
      <c r="X14" s="840" t="str">
        <v>0 : 0</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19</v>
      </c>
    </row>
    <row r="15" spans="2:49">
      <c r="B15" s="862" t="str">
        <v>•</v>
      </c>
      <c r="D15" s="857" t="str">
        <v>Canada</v>
      </c>
      <c r="E15" s="829">
        <v>3</v>
      </c>
      <c r="F15" s="829">
        <f t="shared" ref="F15:F17" si="7">G15-I15</f>
        <v>0</v>
      </c>
      <c r="G15" s="834">
        <v>0</v>
      </c>
      <c r="H15" s="836" t="str">
        <f>Language!$E$197</f>
        <v xml:space="preserve"> : </v>
      </c>
      <c r="I15" s="849">
        <v>0</v>
      </c>
      <c r="J15" s="846" t="str">
        <v>0 : 0</v>
      </c>
      <c r="K15" s="830" t="str">
        <v/>
      </c>
      <c r="L15" s="829" t="str">
        <v>0 : 0</v>
      </c>
      <c r="M15" s="831" t="str">
        <v>0 : 0</v>
      </c>
      <c r="O15" s="857" t="str">
        <v>Canada</v>
      </c>
      <c r="P15" s="829">
        <v>3</v>
      </c>
      <c r="Q15" s="829">
        <v>0</v>
      </c>
      <c r="R15" s="834">
        <v>0</v>
      </c>
      <c r="S15" s="836" t="str">
        <f>Language!$E$197</f>
        <v xml:space="preserve"> : </v>
      </c>
      <c r="T15" s="849">
        <f t="shared" si="4"/>
        <v>0</v>
      </c>
      <c r="U15" s="846" t="str">
        <v>0 : 0</v>
      </c>
      <c r="V15" s="830" t="str">
        <v/>
      </c>
      <c r="W15" s="829" t="str">
        <v>0 : 0</v>
      </c>
      <c r="X15" s="831" t="str">
        <v>0 : 0</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30</v>
      </c>
    </row>
    <row r="16" spans="2:49">
      <c r="B16" s="862" t="str">
        <v>•</v>
      </c>
      <c r="D16" s="857" t="str">
        <v>Qatar</v>
      </c>
      <c r="E16" s="829">
        <v>3</v>
      </c>
      <c r="F16" s="829">
        <f t="shared" si="7"/>
        <v>0</v>
      </c>
      <c r="G16" s="834">
        <v>0</v>
      </c>
      <c r="H16" s="836" t="str">
        <f>Language!$E$197</f>
        <v xml:space="preserve"> : </v>
      </c>
      <c r="I16" s="849">
        <v>0</v>
      </c>
      <c r="J16" s="846" t="str">
        <v>0 : 0</v>
      </c>
      <c r="K16" s="829" t="str">
        <v>0 : 0</v>
      </c>
      <c r="L16" s="830" t="str">
        <v/>
      </c>
      <c r="M16" s="831" t="str">
        <v>0 : 0</v>
      </c>
      <c r="O16" s="857" t="str">
        <v>Qatar</v>
      </c>
      <c r="P16" s="829">
        <v>3</v>
      </c>
      <c r="Q16" s="829">
        <v>0</v>
      </c>
      <c r="R16" s="834">
        <v>0</v>
      </c>
      <c r="S16" s="836" t="str">
        <f>Language!$E$197</f>
        <v xml:space="preserve"> : </v>
      </c>
      <c r="T16" s="849">
        <f t="shared" si="4"/>
        <v>0</v>
      </c>
      <c r="U16" s="846" t="str">
        <v>0 : 0</v>
      </c>
      <c r="V16" s="829" t="str">
        <v>0 : 0</v>
      </c>
      <c r="W16" s="830" t="str">
        <v/>
      </c>
      <c r="X16" s="831" t="str">
        <v>0 : 0</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55</v>
      </c>
    </row>
    <row r="17" spans="2:49" ht="15.75" thickBot="1">
      <c r="B17" s="862" t="str">
        <v>•</v>
      </c>
      <c r="D17" s="858" t="str">
        <v>Bosnië/Herz.</v>
      </c>
      <c r="E17" s="832">
        <v>3</v>
      </c>
      <c r="F17" s="832">
        <f t="shared" si="7"/>
        <v>0</v>
      </c>
      <c r="G17" s="835">
        <v>0</v>
      </c>
      <c r="H17" s="837" t="str">
        <f>Language!$E$197</f>
        <v xml:space="preserve"> : </v>
      </c>
      <c r="I17" s="850">
        <v>0</v>
      </c>
      <c r="J17" s="847" t="str">
        <v>0 : 0</v>
      </c>
      <c r="K17" s="832" t="str">
        <v>0 : 0</v>
      </c>
      <c r="L17" s="832" t="str">
        <v>0 : 0</v>
      </c>
      <c r="M17" s="833" t="str">
        <v/>
      </c>
      <c r="O17" s="858" t="str">
        <v>Bosnië/Herz.</v>
      </c>
      <c r="P17" s="832">
        <v>3</v>
      </c>
      <c r="Q17" s="832">
        <v>0</v>
      </c>
      <c r="R17" s="835">
        <v>0</v>
      </c>
      <c r="S17" s="837" t="str">
        <f>Language!$E$197</f>
        <v xml:space="preserve"> : </v>
      </c>
      <c r="T17" s="850">
        <f t="shared" si="4"/>
        <v>0</v>
      </c>
      <c r="U17" s="847" t="str">
        <v>0 : 0</v>
      </c>
      <c r="V17" s="832" t="str">
        <v>0 : 0</v>
      </c>
      <c r="W17" s="832" t="str">
        <v>0 : 0</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65</v>
      </c>
    </row>
    <row r="18" spans="2:49" ht="15.75" thickTop="1"/>
    <row r="19" spans="2:49"/>
    <row r="20" spans="2:49" ht="15.75" thickBot="1">
      <c r="D20" s="855"/>
      <c r="Z20" s="885" t="str">
        <f>IF(COUNTBLANK(CalcC!$BN$14:$BN$17)&lt;4,Language!$E$136,"")</f>
        <v/>
      </c>
      <c r="AK20" s="885" t="str">
        <f>IF(COUNTBLANK(CalcC!$BZ$14:$BZ$17)&lt;4,Language!$E$136,"")</f>
        <v/>
      </c>
    </row>
    <row r="21" spans="2:49" ht="24.75" thickTop="1">
      <c r="B21" s="859" t="s">
        <v>21</v>
      </c>
      <c r="C21" s="828"/>
      <c r="D21" s="841"/>
      <c r="E21" s="852" t="str">
        <f>Language!$E$131</f>
        <v>Ptn.</v>
      </c>
      <c r="F21" s="852" t="str">
        <f>Language!$E$132</f>
        <v>DS</v>
      </c>
      <c r="G21" s="1317" t="str">
        <f>Language!$E$133</f>
        <v>Doelpunten</v>
      </c>
      <c r="H21" s="1318"/>
      <c r="I21" s="1318"/>
      <c r="J21" s="844" t="str">
        <f t="array" ref="J21:M21">LEFT(CalcC!$H$21:$K$21,$D$4)</f>
        <v>Brazili</v>
      </c>
      <c r="K21" s="842" t="str">
        <v>Marokko</v>
      </c>
      <c r="L21" s="842" t="str">
        <v>Schotla</v>
      </c>
      <c r="M21" s="843" t="str">
        <v>Haïti</v>
      </c>
      <c r="O21" s="841"/>
      <c r="P21" s="852" t="str">
        <f>Language!$E$131</f>
        <v>Ptn.</v>
      </c>
      <c r="Q21" s="852" t="str">
        <f>Language!$E$132</f>
        <v>DS</v>
      </c>
      <c r="R21" s="1317" t="str">
        <f>Language!$E$133</f>
        <v>Doelpunten</v>
      </c>
      <c r="S21" s="1318"/>
      <c r="T21" s="1318"/>
      <c r="U21" s="844" t="str">
        <f t="array" ref="U21:X21">LEFT(CalcC!$BE$13:$BH$13,$D$4)</f>
        <v>Brazili</v>
      </c>
      <c r="V21" s="842" t="str">
        <v>Marokko</v>
      </c>
      <c r="W21" s="842" t="str">
        <v>Schotla</v>
      </c>
      <c r="X21" s="843" t="str">
        <v>Haïti</v>
      </c>
      <c r="Z21" s="841"/>
      <c r="AA21" s="852" t="str">
        <f>Language!$E$131</f>
        <v>Ptn.</v>
      </c>
      <c r="AB21" s="852" t="str">
        <f>Language!$E$132</f>
        <v>DS</v>
      </c>
      <c r="AC21" s="1317" t="str">
        <f>Language!$E$133</f>
        <v>Doelpunten</v>
      </c>
      <c r="AD21" s="1318"/>
      <c r="AE21" s="1318"/>
      <c r="AF21" s="844" t="str">
        <f t="array" ref="AF21:AI21">IF(COUNTBLANK(CalcC!$AZ$22:$AZ$25)&lt;4,LEFT(CalcC!$BE$21:$BH$21,$D$4),LEFT(CalcC!$BS$13:$BV$13,$D$4))</f>
        <v/>
      </c>
      <c r="AG21" s="842" t="str">
        <v/>
      </c>
      <c r="AH21" s="842" t="str">
        <v/>
      </c>
      <c r="AI21" s="843" t="str">
        <v/>
      </c>
      <c r="AK21" s="841"/>
      <c r="AL21" s="852" t="str">
        <f>Language!$E$131</f>
        <v>Ptn.</v>
      </c>
      <c r="AM21" s="852" t="str">
        <f>Language!$E$132</f>
        <v>DS</v>
      </c>
      <c r="AN21" s="1317" t="str">
        <f>Language!$E$133</f>
        <v>Doelpunten</v>
      </c>
      <c r="AO21" s="1318"/>
      <c r="AP21" s="1318"/>
      <c r="AQ21" s="844" t="str">
        <f t="array" ref="AQ21:AT21">LEFT(CalcC!$CE$13:$CH$13,$D$4)</f>
        <v/>
      </c>
      <c r="AR21" s="842" t="str">
        <v/>
      </c>
      <c r="AS21" s="842" t="str">
        <v/>
      </c>
      <c r="AT21" s="843" t="str">
        <v/>
      </c>
      <c r="AV21" s="867" t="str">
        <f>Language!$E$123</f>
        <v>Fair-Play</v>
      </c>
      <c r="AW21" s="868" t="str">
        <f>Language!$E$186</f>
        <v>FIFA-rank.</v>
      </c>
    </row>
    <row r="22" spans="2:49">
      <c r="B22" s="862" t="str">
        <f t="array" ref="B22:B25">IF(CalcC!$M$22:$M$25,"•","")</f>
        <v>•</v>
      </c>
      <c r="D22" s="856" t="str">
        <f t="array" ref="D22:D25">CalcC!$D$22:$D$25</f>
        <v>Brazilië</v>
      </c>
      <c r="E22" s="838">
        <f t="array" ref="E22:E25">CalcC!$E$22:$E$25</f>
        <v>3</v>
      </c>
      <c r="F22" s="838">
        <f>G22-I22</f>
        <v>0</v>
      </c>
      <c r="G22" s="839">
        <f t="array" ref="G22:G25">CalcC!$F$22:$F$25</f>
        <v>0</v>
      </c>
      <c r="H22" s="851" t="str">
        <f>Language!$E$197</f>
        <v xml:space="preserve"> : </v>
      </c>
      <c r="I22" s="848">
        <f t="array" ref="I22:I25">CalcC!$G$22:$G$25</f>
        <v>0</v>
      </c>
      <c r="J22" s="845" t="str">
        <f t="array" ref="J22:M25">CalcC!$H$22:$K$25</f>
        <v/>
      </c>
      <c r="K22" s="838" t="str">
        <v>0 : 0</v>
      </c>
      <c r="L22" s="838" t="str">
        <v>0 : 0</v>
      </c>
      <c r="M22" s="840" t="str">
        <v>0 : 0</v>
      </c>
      <c r="O22" s="856" t="str">
        <f t="array" ref="O22:O25">CalcC!$AZ$14:$AZ$17</f>
        <v>Brazilië</v>
      </c>
      <c r="P22" s="838">
        <f t="array" ref="P22:P25">CalcC!$BA$14:$BA$17</f>
        <v>3</v>
      </c>
      <c r="Q22" s="838">
        <f t="array" ref="Q22:Q25">CalcC!$BB$14:$BB$17</f>
        <v>0</v>
      </c>
      <c r="R22" s="839">
        <f t="array" ref="R22:R25">CalcC!$BC$14:$BC$17</f>
        <v>0</v>
      </c>
      <c r="S22" s="851" t="str">
        <f>Language!$E$197</f>
        <v xml:space="preserve"> : </v>
      </c>
      <c r="T22" s="848">
        <f t="shared" ref="T22:T25" si="8">IF(O22="","",R22-Q22)</f>
        <v>0</v>
      </c>
      <c r="U22" s="845" t="str">
        <f t="array" ref="U22:X25">CalcC!$BE$14:$BH$17</f>
        <v/>
      </c>
      <c r="V22" s="838" t="str">
        <v>0 : 0</v>
      </c>
      <c r="W22" s="838" t="str">
        <v>0 : 0</v>
      </c>
      <c r="X22" s="840" t="str">
        <v>0 : 0</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c r="B23" s="862" t="str">
        <v>•</v>
      </c>
      <c r="D23" s="857" t="str">
        <v>Marokko</v>
      </c>
      <c r="E23" s="829">
        <v>3</v>
      </c>
      <c r="F23" s="829">
        <f t="shared" ref="F23:F25" si="11">G23-I23</f>
        <v>0</v>
      </c>
      <c r="G23" s="834">
        <v>0</v>
      </c>
      <c r="H23" s="836" t="str">
        <f>Language!$E$197</f>
        <v xml:space="preserve"> : </v>
      </c>
      <c r="I23" s="849">
        <v>0</v>
      </c>
      <c r="J23" s="846" t="str">
        <v>0 : 0</v>
      </c>
      <c r="K23" s="830" t="str">
        <v/>
      </c>
      <c r="L23" s="829" t="str">
        <v>0 : 0</v>
      </c>
      <c r="M23" s="831" t="str">
        <v>0 : 0</v>
      </c>
      <c r="O23" s="857" t="str">
        <v>Marokko</v>
      </c>
      <c r="P23" s="829">
        <v>3</v>
      </c>
      <c r="Q23" s="829">
        <v>0</v>
      </c>
      <c r="R23" s="834">
        <v>0</v>
      </c>
      <c r="S23" s="836" t="str">
        <f>Language!$E$197</f>
        <v xml:space="preserve"> : </v>
      </c>
      <c r="T23" s="849">
        <f t="shared" si="8"/>
        <v>0</v>
      </c>
      <c r="U23" s="846" t="str">
        <v>0 : 0</v>
      </c>
      <c r="V23" s="830" t="str">
        <v/>
      </c>
      <c r="W23" s="829" t="str">
        <v>0 : 0</v>
      </c>
      <c r="X23" s="831" t="str">
        <v>0 : 0</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c r="B24" s="862" t="str">
        <v>•</v>
      </c>
      <c r="D24" s="857" t="str">
        <v>Schotland</v>
      </c>
      <c r="E24" s="829">
        <v>3</v>
      </c>
      <c r="F24" s="829">
        <f t="shared" si="11"/>
        <v>0</v>
      </c>
      <c r="G24" s="834">
        <v>0</v>
      </c>
      <c r="H24" s="836" t="str">
        <f>Language!$E$197</f>
        <v xml:space="preserve"> : </v>
      </c>
      <c r="I24" s="849">
        <v>0</v>
      </c>
      <c r="J24" s="846" t="str">
        <v>0 : 0</v>
      </c>
      <c r="K24" s="829" t="str">
        <v>0 : 0</v>
      </c>
      <c r="L24" s="830" t="str">
        <v/>
      </c>
      <c r="M24" s="831" t="str">
        <v>0 : 0</v>
      </c>
      <c r="O24" s="857" t="str">
        <v>Schotland</v>
      </c>
      <c r="P24" s="829">
        <v>3</v>
      </c>
      <c r="Q24" s="829">
        <v>0</v>
      </c>
      <c r="R24" s="834">
        <v>0</v>
      </c>
      <c r="S24" s="836" t="str">
        <f>Language!$E$197</f>
        <v xml:space="preserve"> : </v>
      </c>
      <c r="T24" s="849">
        <f t="shared" si="8"/>
        <v>0</v>
      </c>
      <c r="U24" s="846" t="str">
        <v>0 : 0</v>
      </c>
      <c r="V24" s="829" t="str">
        <v>0 : 0</v>
      </c>
      <c r="W24" s="830" t="str">
        <v/>
      </c>
      <c r="X24" s="831" t="str">
        <v>0 : 0</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43</v>
      </c>
    </row>
    <row r="25" spans="2:49" ht="15.75" thickBot="1">
      <c r="B25" s="862" t="str">
        <v>•</v>
      </c>
      <c r="D25" s="858" t="str">
        <v>Haïti</v>
      </c>
      <c r="E25" s="832">
        <v>3</v>
      </c>
      <c r="F25" s="832">
        <f t="shared" si="11"/>
        <v>0</v>
      </c>
      <c r="G25" s="835">
        <v>0</v>
      </c>
      <c r="H25" s="837" t="str">
        <f>Language!$E$197</f>
        <v xml:space="preserve"> : </v>
      </c>
      <c r="I25" s="850">
        <v>0</v>
      </c>
      <c r="J25" s="847" t="str">
        <v>0 : 0</v>
      </c>
      <c r="K25" s="832" t="str">
        <v>0 : 0</v>
      </c>
      <c r="L25" s="832" t="str">
        <v>0 : 0</v>
      </c>
      <c r="M25" s="833" t="str">
        <v/>
      </c>
      <c r="O25" s="858" t="str">
        <v>Haïti</v>
      </c>
      <c r="P25" s="832">
        <v>3</v>
      </c>
      <c r="Q25" s="832">
        <v>0</v>
      </c>
      <c r="R25" s="835">
        <v>0</v>
      </c>
      <c r="S25" s="837" t="str">
        <f>Language!$E$197</f>
        <v xml:space="preserve"> : </v>
      </c>
      <c r="T25" s="850">
        <f t="shared" si="8"/>
        <v>0</v>
      </c>
      <c r="U25" s="847" t="str">
        <v>0 : 0</v>
      </c>
      <c r="V25" s="832" t="str">
        <v>0 : 0</v>
      </c>
      <c r="W25" s="832" t="str">
        <v>0 : 0</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83</v>
      </c>
    </row>
    <row r="26" spans="2:49" ht="15.75" thickTop="1"/>
    <row r="27" spans="2:49"/>
    <row r="28" spans="2:49" ht="15.75" thickBot="1">
      <c r="D28" s="855"/>
      <c r="Z28" s="885" t="str">
        <f>IF(COUNTBLANK(CalcD!$BN$14:$BN$17)&lt;4,Language!$E$136,"")</f>
        <v/>
      </c>
      <c r="AK28" s="885" t="str">
        <f>IF(COUNTBLANK(CalcD!$BZ$14:$BZ$17)&lt;4,Language!$E$136,"")</f>
        <v/>
      </c>
    </row>
    <row r="29" spans="2:49" ht="24.75" thickTop="1">
      <c r="B29" s="859" t="s">
        <v>25</v>
      </c>
      <c r="C29" s="828"/>
      <c r="D29" s="841"/>
      <c r="E29" s="852" t="str">
        <f>Language!$E$131</f>
        <v>Ptn.</v>
      </c>
      <c r="F29" s="852" t="str">
        <f>Language!$E$132</f>
        <v>DS</v>
      </c>
      <c r="G29" s="1317" t="str">
        <f>Language!$E$133</f>
        <v>Doelpunten</v>
      </c>
      <c r="H29" s="1318"/>
      <c r="I29" s="1318"/>
      <c r="J29" s="844" t="str">
        <f t="array" ref="J29:M29">LEFT(CalcD!$H$21:$K$21,$D$4)</f>
        <v>USA</v>
      </c>
      <c r="K29" s="842" t="str">
        <v>Turkije</v>
      </c>
      <c r="L29" s="842" t="str">
        <v>Austral</v>
      </c>
      <c r="M29" s="843" t="str">
        <v>Paragua</v>
      </c>
      <c r="O29" s="841"/>
      <c r="P29" s="852" t="str">
        <f>Language!$E$131</f>
        <v>Ptn.</v>
      </c>
      <c r="Q29" s="852" t="str">
        <f>Language!$E$132</f>
        <v>DS</v>
      </c>
      <c r="R29" s="1317" t="str">
        <f>Language!$E$133</f>
        <v>Doelpunten</v>
      </c>
      <c r="S29" s="1318"/>
      <c r="T29" s="1318"/>
      <c r="U29" s="844" t="str">
        <f t="array" ref="U29:X29">LEFT(CalcD!$BE$13:$BH$13,$D$4)</f>
        <v>USA</v>
      </c>
      <c r="V29" s="842" t="str">
        <v>Turkije</v>
      </c>
      <c r="W29" s="842" t="str">
        <v>Austral</v>
      </c>
      <c r="X29" s="843" t="str">
        <v>Paragua</v>
      </c>
      <c r="Z29" s="841"/>
      <c r="AA29" s="852" t="str">
        <f>Language!$E$131</f>
        <v>Ptn.</v>
      </c>
      <c r="AB29" s="852" t="str">
        <f>Language!$E$132</f>
        <v>DS</v>
      </c>
      <c r="AC29" s="1317" t="str">
        <f>Language!$E$133</f>
        <v>Doelpunten</v>
      </c>
      <c r="AD29" s="1318"/>
      <c r="AE29" s="1318"/>
      <c r="AF29" s="844" t="str">
        <f t="array" ref="AF29:AI29">IF(COUNTBLANK(CalcD!$AZ$22:$AZ$25)&lt;4,LEFT(CalcD!$BE$21:$BH$21,$D$4),LEFT(CalcD!$BS$13:$BV$13,$D$4))</f>
        <v/>
      </c>
      <c r="AG29" s="842" t="str">
        <v/>
      </c>
      <c r="AH29" s="842" t="str">
        <v/>
      </c>
      <c r="AI29" s="843" t="str">
        <v/>
      </c>
      <c r="AK29" s="841"/>
      <c r="AL29" s="852" t="str">
        <f>Language!$E$131</f>
        <v>Ptn.</v>
      </c>
      <c r="AM29" s="852" t="str">
        <f>Language!$E$132</f>
        <v>DS</v>
      </c>
      <c r="AN29" s="1317" t="str">
        <f>Language!$E$133</f>
        <v>Doelpunten</v>
      </c>
      <c r="AO29" s="1318"/>
      <c r="AP29" s="1318"/>
      <c r="AQ29" s="844" t="str">
        <f t="array" ref="AQ29:AT29">LEFT(CalcD!$CE$13:$CH$13,$D$4)</f>
        <v/>
      </c>
      <c r="AR29" s="842" t="str">
        <v/>
      </c>
      <c r="AS29" s="842" t="str">
        <v/>
      </c>
      <c r="AT29" s="843" t="str">
        <v/>
      </c>
      <c r="AV29" s="867" t="str">
        <f>Language!$E$123</f>
        <v>Fair-Play</v>
      </c>
      <c r="AW29" s="868" t="str">
        <f>Language!$E$186</f>
        <v>FIFA-rank.</v>
      </c>
    </row>
    <row r="30" spans="2:49">
      <c r="B30" s="862" t="str">
        <f t="array" ref="B30:B33">IF(CalcD!$M$22:$M$25,"•","")</f>
        <v>•</v>
      </c>
      <c r="D30" s="856" t="str">
        <f t="array" ref="D30:D33">CalcD!$D$22:$D$25</f>
        <v>USA</v>
      </c>
      <c r="E30" s="838">
        <f t="array" ref="E30:E33">CalcD!$E$22:$E$25</f>
        <v>3</v>
      </c>
      <c r="F30" s="838">
        <f>G30-I30</f>
        <v>0</v>
      </c>
      <c r="G30" s="839">
        <f t="array" ref="G30:G33">CalcD!$F$22:$F$25</f>
        <v>0</v>
      </c>
      <c r="H30" s="851" t="str">
        <f>Language!$E$197</f>
        <v xml:space="preserve"> : </v>
      </c>
      <c r="I30" s="848">
        <f t="array" ref="I30:I33">CalcD!$G$22:$G$25</f>
        <v>0</v>
      </c>
      <c r="J30" s="845" t="str">
        <f t="array" ref="J30:M33">CalcD!$H$22:$K$25</f>
        <v/>
      </c>
      <c r="K30" s="838" t="str">
        <v>0 : 0</v>
      </c>
      <c r="L30" s="838" t="str">
        <v>0 : 0</v>
      </c>
      <c r="M30" s="840" t="str">
        <v>0 : 0</v>
      </c>
      <c r="O30" s="856" t="str">
        <f t="array" ref="O30:O33">CalcD!$AZ$14:$AZ$17</f>
        <v>USA</v>
      </c>
      <c r="P30" s="838">
        <f t="array" ref="P30:P33">CalcD!$BA$14:$BA$17</f>
        <v>3</v>
      </c>
      <c r="Q30" s="838">
        <f t="array" ref="Q30:Q33">CalcD!$BB$14:$BB$17</f>
        <v>0</v>
      </c>
      <c r="R30" s="839">
        <f t="array" ref="R30:R33">CalcD!$BC$14:$BC$17</f>
        <v>0</v>
      </c>
      <c r="S30" s="851" t="str">
        <f>Language!$E$197</f>
        <v xml:space="preserve"> : </v>
      </c>
      <c r="T30" s="848">
        <f t="shared" ref="T30:T33" si="12">IF(O30="","",R30-Q30)</f>
        <v>0</v>
      </c>
      <c r="U30" s="845" t="str">
        <f t="array" ref="U30:X33">CalcD!$BE$14:$BH$17</f>
        <v/>
      </c>
      <c r="V30" s="838" t="str">
        <v>0 : 0</v>
      </c>
      <c r="W30" s="838" t="str">
        <v>0 : 0</v>
      </c>
      <c r="X30" s="840" t="str">
        <v>0 : 0</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c r="B31" s="862" t="str">
        <v>•</v>
      </c>
      <c r="D31" s="857" t="str">
        <v>Turkije</v>
      </c>
      <c r="E31" s="829">
        <v>3</v>
      </c>
      <c r="F31" s="829">
        <f t="shared" ref="F31:F33" si="15">G31-I31</f>
        <v>0</v>
      </c>
      <c r="G31" s="834">
        <v>0</v>
      </c>
      <c r="H31" s="836" t="str">
        <f>Language!$E$197</f>
        <v xml:space="preserve"> : </v>
      </c>
      <c r="I31" s="849">
        <v>0</v>
      </c>
      <c r="J31" s="846" t="str">
        <v>0 : 0</v>
      </c>
      <c r="K31" s="830" t="str">
        <v/>
      </c>
      <c r="L31" s="829" t="str">
        <v>0 : 0</v>
      </c>
      <c r="M31" s="831" t="str">
        <v>0 : 0</v>
      </c>
      <c r="O31" s="857" t="str">
        <v>Turkije</v>
      </c>
      <c r="P31" s="829">
        <v>3</v>
      </c>
      <c r="Q31" s="829">
        <v>0</v>
      </c>
      <c r="R31" s="834">
        <v>0</v>
      </c>
      <c r="S31" s="836" t="str">
        <f>Language!$E$197</f>
        <v xml:space="preserve"> : </v>
      </c>
      <c r="T31" s="849">
        <f t="shared" si="12"/>
        <v>0</v>
      </c>
      <c r="U31" s="846" t="str">
        <v>0 : 0</v>
      </c>
      <c r="V31" s="830" t="str">
        <v/>
      </c>
      <c r="W31" s="829" t="str">
        <v>0 : 0</v>
      </c>
      <c r="X31" s="831" t="str">
        <v>0 : 0</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22</v>
      </c>
    </row>
    <row r="32" spans="2:49">
      <c r="B32" s="862" t="str">
        <v>•</v>
      </c>
      <c r="D32" s="857" t="str">
        <v>Australië</v>
      </c>
      <c r="E32" s="829">
        <v>3</v>
      </c>
      <c r="F32" s="829">
        <f t="shared" si="15"/>
        <v>0</v>
      </c>
      <c r="G32" s="834">
        <v>0</v>
      </c>
      <c r="H32" s="836" t="str">
        <f>Language!$E$197</f>
        <v xml:space="preserve"> : </v>
      </c>
      <c r="I32" s="849">
        <v>0</v>
      </c>
      <c r="J32" s="846" t="str">
        <v>0 : 0</v>
      </c>
      <c r="K32" s="829" t="str">
        <v>0 : 0</v>
      </c>
      <c r="L32" s="830" t="str">
        <v/>
      </c>
      <c r="M32" s="831" t="str">
        <v>0 : 0</v>
      </c>
      <c r="O32" s="857" t="str">
        <v>Australië</v>
      </c>
      <c r="P32" s="829">
        <v>3</v>
      </c>
      <c r="Q32" s="829">
        <v>0</v>
      </c>
      <c r="R32" s="834">
        <v>0</v>
      </c>
      <c r="S32" s="836" t="str">
        <f>Language!$E$197</f>
        <v xml:space="preserve"> : </v>
      </c>
      <c r="T32" s="849">
        <f t="shared" si="12"/>
        <v>0</v>
      </c>
      <c r="U32" s="846" t="str">
        <v>0 : 0</v>
      </c>
      <c r="V32" s="829" t="str">
        <v>0 : 0</v>
      </c>
      <c r="W32" s="830" t="str">
        <v/>
      </c>
      <c r="X32" s="831" t="str">
        <v>0 : 0</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27</v>
      </c>
    </row>
    <row r="33" spans="2:49" ht="15.75" thickBot="1">
      <c r="B33" s="862" t="str">
        <v>•</v>
      </c>
      <c r="D33" s="858" t="str">
        <v>Paraguay</v>
      </c>
      <c r="E33" s="832">
        <v>3</v>
      </c>
      <c r="F33" s="832">
        <f t="shared" si="15"/>
        <v>0</v>
      </c>
      <c r="G33" s="835">
        <v>0</v>
      </c>
      <c r="H33" s="837" t="str">
        <f>Language!$E$197</f>
        <v xml:space="preserve"> : </v>
      </c>
      <c r="I33" s="850">
        <v>0</v>
      </c>
      <c r="J33" s="847" t="str">
        <v>0 : 0</v>
      </c>
      <c r="K33" s="832" t="str">
        <v>0 : 0</v>
      </c>
      <c r="L33" s="832" t="str">
        <v>0 : 0</v>
      </c>
      <c r="M33" s="833" t="str">
        <v/>
      </c>
      <c r="O33" s="858" t="str">
        <v>Paraguay</v>
      </c>
      <c r="P33" s="832">
        <v>3</v>
      </c>
      <c r="Q33" s="832">
        <v>0</v>
      </c>
      <c r="R33" s="835">
        <v>0</v>
      </c>
      <c r="S33" s="837" t="str">
        <f>Language!$E$197</f>
        <v xml:space="preserve"> : </v>
      </c>
      <c r="T33" s="850">
        <f t="shared" si="12"/>
        <v>0</v>
      </c>
      <c r="U33" s="847" t="str">
        <v>0 : 0</v>
      </c>
      <c r="V33" s="832" t="str">
        <v>0 : 0</v>
      </c>
      <c r="W33" s="832" t="str">
        <v>0 : 0</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40</v>
      </c>
    </row>
    <row r="34" spans="2:49" ht="15.75" thickTop="1"/>
    <row r="35" spans="2:49"/>
    <row r="36" spans="2:49" ht="15.75" thickBot="1">
      <c r="D36" s="855"/>
      <c r="Z36" s="885" t="str">
        <f>IF(COUNTBLANK(CalcE!$BN$14:$BN$17)&lt;4,Language!$E$136,"")</f>
        <v/>
      </c>
      <c r="AK36" s="885" t="str">
        <f>IF(COUNTBLANK(CalcE!$BZ$14:$BZ$17)&lt;4,Language!$E$136,"")</f>
        <v/>
      </c>
    </row>
    <row r="37" spans="2:49" ht="24.75" thickTop="1">
      <c r="B37" s="859" t="s">
        <v>22</v>
      </c>
      <c r="C37" s="828"/>
      <c r="D37" s="841"/>
      <c r="E37" s="852" t="str">
        <f>Language!$E$131</f>
        <v>Ptn.</v>
      </c>
      <c r="F37" s="852" t="str">
        <f>Language!$E$132</f>
        <v>DS</v>
      </c>
      <c r="G37" s="1317" t="str">
        <f>Language!$E$133</f>
        <v>Doelpunten</v>
      </c>
      <c r="H37" s="1318"/>
      <c r="I37" s="1318"/>
      <c r="J37" s="844" t="str">
        <f t="array" ref="J37:M37">LEFT(CalcE!$H$21:$K$21,$D$4)</f>
        <v>Duitsla</v>
      </c>
      <c r="K37" s="842" t="str">
        <v>Ecuador</v>
      </c>
      <c r="L37" s="842" t="str">
        <v>Ivoorku</v>
      </c>
      <c r="M37" s="843" t="str">
        <v>Curacao</v>
      </c>
      <c r="O37" s="841"/>
      <c r="P37" s="852" t="str">
        <f>Language!$E$131</f>
        <v>Ptn.</v>
      </c>
      <c r="Q37" s="852" t="str">
        <f>Language!$E$132</f>
        <v>DS</v>
      </c>
      <c r="R37" s="1317" t="str">
        <f>Language!$E$133</f>
        <v>Doelpunten</v>
      </c>
      <c r="S37" s="1318"/>
      <c r="T37" s="1318"/>
      <c r="U37" s="844" t="str">
        <f t="array" ref="U37:X37">LEFT(CalcE!$BE$13:$BH$13,$D$4)</f>
        <v>Duitsla</v>
      </c>
      <c r="V37" s="842" t="str">
        <v>Ecuador</v>
      </c>
      <c r="W37" s="842" t="str">
        <v>Ivoorku</v>
      </c>
      <c r="X37" s="843" t="str">
        <v>Curacao</v>
      </c>
      <c r="Z37" s="841"/>
      <c r="AA37" s="852" t="str">
        <f>Language!$E$131</f>
        <v>Ptn.</v>
      </c>
      <c r="AB37" s="852" t="str">
        <f>Language!$E$132</f>
        <v>DS</v>
      </c>
      <c r="AC37" s="1317" t="str">
        <f>Language!$E$133</f>
        <v>Doelpunten</v>
      </c>
      <c r="AD37" s="1318"/>
      <c r="AE37" s="1318"/>
      <c r="AF37" s="844" t="str">
        <f t="array" ref="AF37:AI37">IF(COUNTBLANK(CalcE!$AZ$22:$AZ$25)&lt;4,LEFT(CalcE!$BE$21:$BH$21,$D$4),LEFT(CalcE!$BS$13:$BV$13,$D$4))</f>
        <v/>
      </c>
      <c r="AG37" s="842" t="str">
        <v/>
      </c>
      <c r="AH37" s="842" t="str">
        <v/>
      </c>
      <c r="AI37" s="843" t="str">
        <v/>
      </c>
      <c r="AK37" s="841"/>
      <c r="AL37" s="852" t="str">
        <f>Language!$E$131</f>
        <v>Ptn.</v>
      </c>
      <c r="AM37" s="852" t="str">
        <f>Language!$E$132</f>
        <v>DS</v>
      </c>
      <c r="AN37" s="1317" t="str">
        <f>Language!$E$133</f>
        <v>Doelpunten</v>
      </c>
      <c r="AO37" s="1318"/>
      <c r="AP37" s="1318"/>
      <c r="AQ37" s="844" t="str">
        <f t="array" ref="AQ37:AT37">LEFT(CalcE!$CE$13:$CH$13,$D$4)</f>
        <v/>
      </c>
      <c r="AR37" s="842" t="str">
        <v/>
      </c>
      <c r="AS37" s="842" t="str">
        <v/>
      </c>
      <c r="AT37" s="843" t="str">
        <v/>
      </c>
      <c r="AV37" s="867" t="str">
        <f>Language!$E$123</f>
        <v>Fair-Play</v>
      </c>
      <c r="AW37" s="868" t="str">
        <f>Language!$E$186</f>
        <v>FIFA-rank.</v>
      </c>
    </row>
    <row r="38" spans="2:49">
      <c r="B38" s="862" t="str">
        <f t="array" ref="B38:B41">IF(CalcE!$M$22:$M$25,"•","")</f>
        <v>•</v>
      </c>
      <c r="D38" s="856" t="str">
        <f t="array" ref="D38:D41">CalcE!$D$22:$D$25</f>
        <v>Duitsland</v>
      </c>
      <c r="E38" s="838">
        <f t="array" ref="E38:E41">CalcE!$E$22:$E$25</f>
        <v>3</v>
      </c>
      <c r="F38" s="838">
        <f>G38-I38</f>
        <v>0</v>
      </c>
      <c r="G38" s="839">
        <f t="array" ref="G38:G41">CalcE!$F$22:$F$25</f>
        <v>0</v>
      </c>
      <c r="H38" s="851" t="str">
        <f>Language!$E$197</f>
        <v xml:space="preserve"> : </v>
      </c>
      <c r="I38" s="848">
        <f t="array" ref="I38:I41">CalcE!$G$22:$G$25</f>
        <v>0</v>
      </c>
      <c r="J38" s="845" t="str">
        <f t="array" ref="J38:M41">CalcE!$H$22:$K$25</f>
        <v/>
      </c>
      <c r="K38" s="838" t="str">
        <v>0 : 0</v>
      </c>
      <c r="L38" s="838" t="str">
        <v>0 : 0</v>
      </c>
      <c r="M38" s="840" t="str">
        <v>0 : 0</v>
      </c>
      <c r="O38" s="856" t="str">
        <f t="array" ref="O38:O41">CalcE!$AZ$14:$AZ$17</f>
        <v>Duitsland</v>
      </c>
      <c r="P38" s="838">
        <f t="array" ref="P38:P41">CalcE!$BA$14:$BA$17</f>
        <v>3</v>
      </c>
      <c r="Q38" s="838">
        <f t="array" ref="Q38:Q41">CalcE!$BB$14:$BB$17</f>
        <v>0</v>
      </c>
      <c r="R38" s="839">
        <f t="array" ref="R38:R41">CalcE!$BC$14:$BC$17</f>
        <v>0</v>
      </c>
      <c r="S38" s="851" t="str">
        <f>Language!$E$197</f>
        <v xml:space="preserve"> : </v>
      </c>
      <c r="T38" s="848">
        <f t="shared" ref="T38:T41" si="16">IF(O38="","",R38-Q38)</f>
        <v>0</v>
      </c>
      <c r="U38" s="845" t="str">
        <f t="array" ref="U38:X41">CalcE!$BE$14:$BH$17</f>
        <v/>
      </c>
      <c r="V38" s="838" t="str">
        <v>0 : 0</v>
      </c>
      <c r="W38" s="838" t="str">
        <v>0 : 0</v>
      </c>
      <c r="X38" s="840" t="str">
        <v>0 : 0</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c r="B39" s="862" t="str">
        <v>•</v>
      </c>
      <c r="D39" s="857" t="str">
        <v>Ecuador</v>
      </c>
      <c r="E39" s="829">
        <v>3</v>
      </c>
      <c r="F39" s="829">
        <f t="shared" ref="F39:F41" si="19">G39-I39</f>
        <v>0</v>
      </c>
      <c r="G39" s="834">
        <v>0</v>
      </c>
      <c r="H39" s="836" t="str">
        <f>Language!$E$197</f>
        <v xml:space="preserve"> : </v>
      </c>
      <c r="I39" s="849">
        <v>0</v>
      </c>
      <c r="J39" s="846" t="str">
        <v>0 : 0</v>
      </c>
      <c r="K39" s="830" t="str">
        <v/>
      </c>
      <c r="L39" s="829" t="str">
        <v>0 : 0</v>
      </c>
      <c r="M39" s="831" t="str">
        <v>0 : 0</v>
      </c>
      <c r="O39" s="857" t="str">
        <v>Ecuador</v>
      </c>
      <c r="P39" s="829">
        <v>3</v>
      </c>
      <c r="Q39" s="829">
        <v>0</v>
      </c>
      <c r="R39" s="834">
        <v>0</v>
      </c>
      <c r="S39" s="836" t="str">
        <f>Language!$E$197</f>
        <v xml:space="preserve"> : </v>
      </c>
      <c r="T39" s="849">
        <f t="shared" si="16"/>
        <v>0</v>
      </c>
      <c r="U39" s="846" t="str">
        <v>0 : 0</v>
      </c>
      <c r="V39" s="830" t="str">
        <v/>
      </c>
      <c r="W39" s="829" t="str">
        <v>0 : 0</v>
      </c>
      <c r="X39" s="831" t="str">
        <v>0 : 0</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23</v>
      </c>
    </row>
    <row r="40" spans="2:49">
      <c r="B40" s="862" t="str">
        <v>•</v>
      </c>
      <c r="D40" s="857" t="str">
        <v>Ivoorkust</v>
      </c>
      <c r="E40" s="829">
        <v>3</v>
      </c>
      <c r="F40" s="829">
        <f t="shared" si="19"/>
        <v>0</v>
      </c>
      <c r="G40" s="834">
        <v>0</v>
      </c>
      <c r="H40" s="836" t="str">
        <f>Language!$E$197</f>
        <v xml:space="preserve"> : </v>
      </c>
      <c r="I40" s="849">
        <v>0</v>
      </c>
      <c r="J40" s="846" t="str">
        <v>0 : 0</v>
      </c>
      <c r="K40" s="829" t="str">
        <v>0 : 0</v>
      </c>
      <c r="L40" s="830" t="str">
        <v/>
      </c>
      <c r="M40" s="831" t="str">
        <v>0 : 0</v>
      </c>
      <c r="O40" s="857" t="str">
        <v>Ivoorkust</v>
      </c>
      <c r="P40" s="829">
        <v>3</v>
      </c>
      <c r="Q40" s="829">
        <v>0</v>
      </c>
      <c r="R40" s="834">
        <v>0</v>
      </c>
      <c r="S40" s="836" t="str">
        <f>Language!$E$197</f>
        <v xml:space="preserve"> : </v>
      </c>
      <c r="T40" s="849">
        <f t="shared" si="16"/>
        <v>0</v>
      </c>
      <c r="U40" s="846" t="str">
        <v>0 : 0</v>
      </c>
      <c r="V40" s="829" t="str">
        <v>0 : 0</v>
      </c>
      <c r="W40" s="830" t="str">
        <v/>
      </c>
      <c r="X40" s="831" t="str">
        <v>0 : 0</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34</v>
      </c>
    </row>
    <row r="41" spans="2:49" ht="15.75" thickBot="1">
      <c r="B41" s="862" t="str">
        <v>•</v>
      </c>
      <c r="D41" s="858" t="str">
        <v>Curacao</v>
      </c>
      <c r="E41" s="832">
        <v>3</v>
      </c>
      <c r="F41" s="832">
        <f t="shared" si="19"/>
        <v>0</v>
      </c>
      <c r="G41" s="835">
        <v>0</v>
      </c>
      <c r="H41" s="837" t="str">
        <f>Language!$E$197</f>
        <v xml:space="preserve"> : </v>
      </c>
      <c r="I41" s="850">
        <v>0</v>
      </c>
      <c r="J41" s="847" t="str">
        <v>0 : 0</v>
      </c>
      <c r="K41" s="832" t="str">
        <v>0 : 0</v>
      </c>
      <c r="L41" s="832" t="str">
        <v>0 : 0</v>
      </c>
      <c r="M41" s="833" t="str">
        <v/>
      </c>
      <c r="O41" s="858" t="str">
        <v>Curacao</v>
      </c>
      <c r="P41" s="832">
        <v>3</v>
      </c>
      <c r="Q41" s="832">
        <v>0</v>
      </c>
      <c r="R41" s="835">
        <v>0</v>
      </c>
      <c r="S41" s="837" t="str">
        <f>Language!$E$197</f>
        <v xml:space="preserve"> : </v>
      </c>
      <c r="T41" s="850">
        <f t="shared" si="16"/>
        <v>0</v>
      </c>
      <c r="U41" s="847" t="str">
        <v>0 : 0</v>
      </c>
      <c r="V41" s="832" t="str">
        <v>0 : 0</v>
      </c>
      <c r="W41" s="832" t="str">
        <v>0 : 0</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82</v>
      </c>
    </row>
    <row r="42" spans="2:49" ht="15.75" thickTop="1"/>
    <row r="43" spans="2:49"/>
    <row r="44" spans="2:49" ht="15.75" thickBot="1">
      <c r="D44" s="855"/>
      <c r="Z44" s="885" t="str">
        <f>IF(COUNTBLANK(CalcF!$BN$14:$BN$17)&lt;4,Language!$E$136,"")</f>
        <v/>
      </c>
      <c r="AK44" s="885" t="str">
        <f>IF(COUNTBLANK(CalcF!$BZ$14:$BZ$17)&lt;4,Language!$E$136,"")</f>
        <v/>
      </c>
    </row>
    <row r="45" spans="2:49" ht="24.75" thickTop="1">
      <c r="B45" s="859" t="s">
        <v>23</v>
      </c>
      <c r="C45" s="828"/>
      <c r="D45" s="841"/>
      <c r="E45" s="852" t="str">
        <f>Language!$E$131</f>
        <v>Ptn.</v>
      </c>
      <c r="F45" s="852" t="str">
        <f>Language!$E$132</f>
        <v>DS</v>
      </c>
      <c r="G45" s="1317" t="str">
        <f>Language!$E$133</f>
        <v>Doelpunten</v>
      </c>
      <c r="H45" s="1318"/>
      <c r="I45" s="1318"/>
      <c r="J45" s="844" t="str">
        <f t="array" ref="J45:M45">LEFT(CalcF!$H$21:$K$21,$D$4)</f>
        <v>Nederla</v>
      </c>
      <c r="K45" s="842" t="str">
        <v>Japan</v>
      </c>
      <c r="L45" s="842" t="str">
        <v>Zweden</v>
      </c>
      <c r="M45" s="843" t="str">
        <v>Tunesië</v>
      </c>
      <c r="O45" s="841"/>
      <c r="P45" s="852" t="str">
        <f>Language!$E$131</f>
        <v>Ptn.</v>
      </c>
      <c r="Q45" s="852" t="str">
        <f>Language!$E$132</f>
        <v>DS</v>
      </c>
      <c r="R45" s="1317" t="str">
        <f>Language!$E$133</f>
        <v>Doelpunten</v>
      </c>
      <c r="S45" s="1318"/>
      <c r="T45" s="1318"/>
      <c r="U45" s="844" t="str">
        <f t="array" ref="U45:X45">LEFT(CalcF!$BE$13:$BH$13,$D$4)</f>
        <v>Nederla</v>
      </c>
      <c r="V45" s="842" t="str">
        <v>Japan</v>
      </c>
      <c r="W45" s="842" t="str">
        <v>Zweden</v>
      </c>
      <c r="X45" s="843" t="str">
        <v>Tunesië</v>
      </c>
      <c r="Z45" s="841"/>
      <c r="AA45" s="852" t="str">
        <f>Language!$E$131</f>
        <v>Ptn.</v>
      </c>
      <c r="AB45" s="852" t="str">
        <f>Language!$E$132</f>
        <v>DS</v>
      </c>
      <c r="AC45" s="1317" t="str">
        <f>Language!$E$133</f>
        <v>Doelpunten</v>
      </c>
      <c r="AD45" s="1318"/>
      <c r="AE45" s="1318"/>
      <c r="AF45" s="844" t="str">
        <f t="array" ref="AF45:AI45">IF(COUNTBLANK(CalcF!$AZ$22:$AZ$25)&lt;4,LEFT(CalcF!$BE$21:$BH$21,$D$4),LEFT(CalcF!$BS$13:$BV$13,$D$4))</f>
        <v/>
      </c>
      <c r="AG45" s="842" t="str">
        <v/>
      </c>
      <c r="AH45" s="842" t="str">
        <v/>
      </c>
      <c r="AI45" s="843" t="str">
        <v/>
      </c>
      <c r="AK45" s="841"/>
      <c r="AL45" s="852" t="str">
        <f>Language!$E$131</f>
        <v>Ptn.</v>
      </c>
      <c r="AM45" s="852" t="str">
        <f>Language!$E$132</f>
        <v>DS</v>
      </c>
      <c r="AN45" s="1317" t="str">
        <f>Language!$E$133</f>
        <v>Doelpunten</v>
      </c>
      <c r="AO45" s="1318"/>
      <c r="AP45" s="1318"/>
      <c r="AQ45" s="844" t="str">
        <f t="array" ref="AQ45:AT45">LEFT(CalcF!$CE$13:$CH$13,$D$4)</f>
        <v/>
      </c>
      <c r="AR45" s="842" t="str">
        <v/>
      </c>
      <c r="AS45" s="842" t="str">
        <v/>
      </c>
      <c r="AT45" s="843" t="str">
        <v/>
      </c>
      <c r="AV45" s="867" t="str">
        <f>Language!$E$123</f>
        <v>Fair-Play</v>
      </c>
      <c r="AW45" s="868" t="str">
        <f>Language!$E$186</f>
        <v>FIFA-rank.</v>
      </c>
    </row>
    <row r="46" spans="2:49">
      <c r="B46" s="862" t="str">
        <f t="array" ref="B46:B49">IF(CalcF!$M$22:$M$25,"•","")</f>
        <v>•</v>
      </c>
      <c r="D46" s="856" t="str">
        <f t="array" ref="D46:D49">CalcF!$D$22:$D$25</f>
        <v>Nederland</v>
      </c>
      <c r="E46" s="838">
        <f t="array" ref="E46:E49">CalcF!$E$22:$E$25</f>
        <v>3</v>
      </c>
      <c r="F46" s="838">
        <f>G46-I46</f>
        <v>0</v>
      </c>
      <c r="G46" s="839">
        <f t="array" ref="G46:G49">CalcF!$F$22:$F$25</f>
        <v>0</v>
      </c>
      <c r="H46" s="851" t="str">
        <f>Language!$E$197</f>
        <v xml:space="preserve"> : </v>
      </c>
      <c r="I46" s="848">
        <f t="array" ref="I46:I49">CalcF!$G$22:$G$25</f>
        <v>0</v>
      </c>
      <c r="J46" s="845" t="str">
        <f t="array" ref="J46:M49">CalcF!$H$22:$K$25</f>
        <v/>
      </c>
      <c r="K46" s="838" t="str">
        <v>0 : 0</v>
      </c>
      <c r="L46" s="838" t="str">
        <v>0 : 0</v>
      </c>
      <c r="M46" s="840" t="str">
        <v>0 : 0</v>
      </c>
      <c r="O46" s="856" t="str">
        <f t="array" ref="O46:O49">CalcF!$AZ$14:$AZ$17</f>
        <v>Nederland</v>
      </c>
      <c r="P46" s="838">
        <f t="array" ref="P46:P49">CalcF!$BA$14:$BA$17</f>
        <v>3</v>
      </c>
      <c r="Q46" s="838">
        <f t="array" ref="Q46:Q49">CalcF!$BB$14:$BB$17</f>
        <v>0</v>
      </c>
      <c r="R46" s="839">
        <f t="array" ref="R46:R49">CalcF!$BC$14:$BC$17</f>
        <v>0</v>
      </c>
      <c r="S46" s="851" t="str">
        <f>Language!$E$197</f>
        <v xml:space="preserve"> : </v>
      </c>
      <c r="T46" s="848">
        <f t="shared" ref="T46:T49" si="20">IF(O46="","",R46-Q46)</f>
        <v>0</v>
      </c>
      <c r="U46" s="845" t="str">
        <f t="array" ref="U46:X49">CalcF!$BE$14:$BH$17</f>
        <v/>
      </c>
      <c r="V46" s="838" t="str">
        <v>0 : 0</v>
      </c>
      <c r="W46" s="838" t="str">
        <v>0 : 0</v>
      </c>
      <c r="X46" s="840" t="str">
        <v>0 : 0</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c r="B47" s="862" t="str">
        <v>•</v>
      </c>
      <c r="D47" s="857" t="str">
        <v>Japan</v>
      </c>
      <c r="E47" s="829">
        <v>3</v>
      </c>
      <c r="F47" s="829">
        <f t="shared" ref="F47:F49" si="23">G47-I47</f>
        <v>0</v>
      </c>
      <c r="G47" s="834">
        <v>0</v>
      </c>
      <c r="H47" s="836" t="str">
        <f>Language!$E$197</f>
        <v xml:space="preserve"> : </v>
      </c>
      <c r="I47" s="849">
        <v>0</v>
      </c>
      <c r="J47" s="846" t="str">
        <v>0 : 0</v>
      </c>
      <c r="K47" s="830" t="str">
        <v/>
      </c>
      <c r="L47" s="829" t="str">
        <v>0 : 0</v>
      </c>
      <c r="M47" s="831" t="str">
        <v>0 : 0</v>
      </c>
      <c r="O47" s="857" t="str">
        <v>Japan</v>
      </c>
      <c r="P47" s="829">
        <v>3</v>
      </c>
      <c r="Q47" s="829">
        <v>0</v>
      </c>
      <c r="R47" s="834">
        <v>0</v>
      </c>
      <c r="S47" s="836" t="str">
        <f>Language!$E$197</f>
        <v xml:space="preserve"> : </v>
      </c>
      <c r="T47" s="849">
        <f t="shared" si="20"/>
        <v>0</v>
      </c>
      <c r="U47" s="846" t="str">
        <v>0 : 0</v>
      </c>
      <c r="V47" s="830" t="str">
        <v/>
      </c>
      <c r="W47" s="829" t="str">
        <v>0 : 0</v>
      </c>
      <c r="X47" s="831" t="str">
        <v>0 : 0</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c r="B48" s="862" t="str">
        <v>•</v>
      </c>
      <c r="D48" s="857" t="str">
        <v>Zweden</v>
      </c>
      <c r="E48" s="829">
        <v>3</v>
      </c>
      <c r="F48" s="829">
        <f t="shared" si="23"/>
        <v>0</v>
      </c>
      <c r="G48" s="834">
        <v>0</v>
      </c>
      <c r="H48" s="836" t="str">
        <f>Language!$E$197</f>
        <v xml:space="preserve"> : </v>
      </c>
      <c r="I48" s="849">
        <v>0</v>
      </c>
      <c r="J48" s="846" t="str">
        <v>0 : 0</v>
      </c>
      <c r="K48" s="829" t="str">
        <v>0 : 0</v>
      </c>
      <c r="L48" s="830" t="str">
        <v/>
      </c>
      <c r="M48" s="831" t="str">
        <v>0 : 0</v>
      </c>
      <c r="O48" s="857" t="str">
        <v>Zweden</v>
      </c>
      <c r="P48" s="829">
        <v>3</v>
      </c>
      <c r="Q48" s="829">
        <v>0</v>
      </c>
      <c r="R48" s="834">
        <v>0</v>
      </c>
      <c r="S48" s="836" t="str">
        <f>Language!$E$197</f>
        <v xml:space="preserve"> : </v>
      </c>
      <c r="T48" s="849">
        <f t="shared" si="20"/>
        <v>0</v>
      </c>
      <c r="U48" s="846" t="str">
        <v>0 : 0</v>
      </c>
      <c r="V48" s="829" t="str">
        <v>0 : 0</v>
      </c>
      <c r="W48" s="830" t="str">
        <v/>
      </c>
      <c r="X48" s="831" t="str">
        <v>0 : 0</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c r="B49" s="862" t="str">
        <v>•</v>
      </c>
      <c r="D49" s="858" t="str">
        <v>Tunesië</v>
      </c>
      <c r="E49" s="832">
        <v>3</v>
      </c>
      <c r="F49" s="832">
        <f t="shared" si="23"/>
        <v>0</v>
      </c>
      <c r="G49" s="835">
        <v>0</v>
      </c>
      <c r="H49" s="837" t="str">
        <f>Language!$E$197</f>
        <v xml:space="preserve"> : </v>
      </c>
      <c r="I49" s="850">
        <v>0</v>
      </c>
      <c r="J49" s="847" t="str">
        <v>0 : 0</v>
      </c>
      <c r="K49" s="832" t="str">
        <v>0 : 0</v>
      </c>
      <c r="L49" s="832" t="str">
        <v>0 : 0</v>
      </c>
      <c r="M49" s="833" t="str">
        <v/>
      </c>
      <c r="O49" s="858" t="str">
        <v>Tunesië</v>
      </c>
      <c r="P49" s="832">
        <v>3</v>
      </c>
      <c r="Q49" s="832">
        <v>0</v>
      </c>
      <c r="R49" s="835">
        <v>0</v>
      </c>
      <c r="S49" s="837" t="str">
        <f>Language!$E$197</f>
        <v xml:space="preserve"> : </v>
      </c>
      <c r="T49" s="850">
        <f t="shared" si="20"/>
        <v>0</v>
      </c>
      <c r="U49" s="847" t="str">
        <v>0 : 0</v>
      </c>
      <c r="V49" s="832" t="str">
        <v>0 : 0</v>
      </c>
      <c r="W49" s="832" t="str">
        <v>0 : 0</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row r="51" spans="2:49"/>
    <row r="52" spans="2:49" ht="15.75" thickBot="1">
      <c r="D52" s="855"/>
      <c r="Z52" s="885" t="str">
        <f>IF(COUNTBLANK(CalcG!$BN$14:$BN$17)&lt;4,Language!$E$136,"")</f>
        <v/>
      </c>
      <c r="AK52" s="885" t="str">
        <f>IF(COUNTBLANK(CalcG!$BZ$14:$BZ$17)&lt;4,Language!$E$136,"")</f>
        <v/>
      </c>
    </row>
    <row r="53" spans="2:49" ht="24.75" thickTop="1">
      <c r="B53" s="859" t="s">
        <v>272</v>
      </c>
      <c r="C53" s="828"/>
      <c r="D53" s="841"/>
      <c r="E53" s="852" t="str">
        <f>Language!$E$131</f>
        <v>Ptn.</v>
      </c>
      <c r="F53" s="852" t="str">
        <f>Language!$E$132</f>
        <v>DS</v>
      </c>
      <c r="G53" s="1317" t="str">
        <f>Language!$E$133</f>
        <v>Doelpunten</v>
      </c>
      <c r="H53" s="1318"/>
      <c r="I53" s="1318"/>
      <c r="J53" s="844" t="str">
        <f t="array" ref="J53:M53">LEFT(CalcG!$H$21:$K$21,$D$4)</f>
        <v>België</v>
      </c>
      <c r="K53" s="842" t="str">
        <v>Nieuw-Z</v>
      </c>
      <c r="L53" s="842" t="str">
        <v>Iran</v>
      </c>
      <c r="M53" s="843" t="str">
        <v>Egypte</v>
      </c>
      <c r="O53" s="841"/>
      <c r="P53" s="852" t="str">
        <f>Language!$E$131</f>
        <v>Ptn.</v>
      </c>
      <c r="Q53" s="852" t="str">
        <f>Language!$E$132</f>
        <v>DS</v>
      </c>
      <c r="R53" s="1317" t="str">
        <f>Language!$E$133</f>
        <v>Doelpunten</v>
      </c>
      <c r="S53" s="1318"/>
      <c r="T53" s="1318"/>
      <c r="U53" s="844" t="str">
        <f t="array" ref="U53:X53">LEFT(CalcG!$BE$13:$BH$13,$D$4)</f>
        <v>België</v>
      </c>
      <c r="V53" s="842" t="str">
        <v>Nieuw-Z</v>
      </c>
      <c r="W53" s="842" t="str">
        <v/>
      </c>
      <c r="X53" s="843" t="str">
        <v/>
      </c>
      <c r="Z53" s="841"/>
      <c r="AA53" s="852" t="str">
        <f>Language!$E$131</f>
        <v>Ptn.</v>
      </c>
      <c r="AB53" s="852" t="str">
        <f>Language!$E$132</f>
        <v>DS</v>
      </c>
      <c r="AC53" s="1317" t="str">
        <f>Language!$E$133</f>
        <v>Doelpunten</v>
      </c>
      <c r="AD53" s="1318"/>
      <c r="AE53" s="1318"/>
      <c r="AF53" s="844" t="str">
        <f t="array" ref="AF53:AI53">IF(COUNTBLANK(CalcG!$AZ$22:$AZ$25)&lt;4,LEFT(CalcG!$BE$21:$BH$21,$D$4),LEFT(CalcG!$BS$13:$BV$13,$D$4))</f>
        <v/>
      </c>
      <c r="AG53" s="842" t="str">
        <v/>
      </c>
      <c r="AH53" s="842" t="str">
        <v>Iran</v>
      </c>
      <c r="AI53" s="843" t="str">
        <v>Egypte</v>
      </c>
      <c r="AK53" s="841"/>
      <c r="AL53" s="852" t="str">
        <f>Language!$E$131</f>
        <v>Ptn.</v>
      </c>
      <c r="AM53" s="852" t="str">
        <f>Language!$E$132</f>
        <v>DS</v>
      </c>
      <c r="AN53" s="1317" t="str">
        <f>Language!$E$133</f>
        <v>Doelpunten</v>
      </c>
      <c r="AO53" s="1318"/>
      <c r="AP53" s="1318"/>
      <c r="AQ53" s="844" t="str">
        <f t="array" ref="AQ53:AT53">LEFT(CalcG!$CE$13:$CH$13,$D$4)</f>
        <v/>
      </c>
      <c r="AR53" s="842" t="str">
        <v/>
      </c>
      <c r="AS53" s="842" t="str">
        <v/>
      </c>
      <c r="AT53" s="843" t="str">
        <v/>
      </c>
      <c r="AV53" s="867" t="str">
        <f>Language!$E$123</f>
        <v>Fair-Play</v>
      </c>
      <c r="AW53" s="868" t="str">
        <f>Language!$E$186</f>
        <v>FIFA-rank.</v>
      </c>
    </row>
    <row r="54" spans="2:49">
      <c r="B54" s="862" t="str">
        <f t="array" ref="B54:B57">IF(CalcG!$M$22:$M$25,"•","")</f>
        <v>•</v>
      </c>
      <c r="D54" s="856" t="str">
        <f t="array" ref="D54:D57">CalcG!$D$22:$D$25</f>
        <v>België</v>
      </c>
      <c r="E54" s="838">
        <f t="array" ref="E54:E57">CalcG!$E$22:$E$25</f>
        <v>3</v>
      </c>
      <c r="F54" s="838">
        <f>G54-I54</f>
        <v>0</v>
      </c>
      <c r="G54" s="839">
        <f t="array" ref="G54:G57">CalcG!$F$22:$F$25</f>
        <v>0</v>
      </c>
      <c r="H54" s="851" t="str">
        <f>Language!$E$197</f>
        <v xml:space="preserve"> : </v>
      </c>
      <c r="I54" s="848">
        <f t="array" ref="I54:I57">CalcG!$G$22:$G$25</f>
        <v>0</v>
      </c>
      <c r="J54" s="845" t="str">
        <f t="array" ref="J54:M57">CalcG!$H$22:$K$25</f>
        <v/>
      </c>
      <c r="K54" s="838" t="str">
        <v>0 : 0</v>
      </c>
      <c r="L54" s="838" t="str">
        <v>0 : 0</v>
      </c>
      <c r="M54" s="840" t="str">
        <v>0 : 0</v>
      </c>
      <c r="O54" s="856" t="str">
        <f t="array" ref="O54:O57">CalcG!$AZ$14:$AZ$17</f>
        <v>België</v>
      </c>
      <c r="P54" s="838">
        <f t="array" ref="P54:P57">CalcG!$BA$14:$BA$17</f>
        <v>1</v>
      </c>
      <c r="Q54" s="838">
        <f t="array" ref="Q54:Q57">CalcG!$BB$14:$BB$17</f>
        <v>0</v>
      </c>
      <c r="R54" s="839">
        <f t="array" ref="R54:R57">CalcG!$BC$14:$BC$17</f>
        <v>0</v>
      </c>
      <c r="S54" s="851" t="str">
        <f>Language!$E$197</f>
        <v xml:space="preserve"> : </v>
      </c>
      <c r="T54" s="848">
        <f t="shared" ref="T54:T57" si="24">IF(O54="","",R54-Q54)</f>
        <v>0</v>
      </c>
      <c r="U54" s="845" t="str">
        <f t="array" ref="U54:X57">CalcG!$BE$14:$BH$17</f>
        <v/>
      </c>
      <c r="V54" s="838" t="str">
        <v>0 : 0</v>
      </c>
      <c r="W54" s="838" t="str">
        <v/>
      </c>
      <c r="X54" s="840" t="str">
        <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c r="B55" s="862" t="str">
        <v>•</v>
      </c>
      <c r="D55" s="857" t="str">
        <v>Nieuw-Zeeland</v>
      </c>
      <c r="E55" s="829">
        <v>3</v>
      </c>
      <c r="F55" s="829">
        <f t="shared" ref="F55:F57" si="27">G55-I55</f>
        <v>0</v>
      </c>
      <c r="G55" s="834">
        <v>0</v>
      </c>
      <c r="H55" s="836" t="str">
        <f>Language!$E$197</f>
        <v xml:space="preserve"> : </v>
      </c>
      <c r="I55" s="849">
        <v>0</v>
      </c>
      <c r="J55" s="846" t="str">
        <v>0 : 0</v>
      </c>
      <c r="K55" s="830" t="str">
        <v/>
      </c>
      <c r="L55" s="829" t="str">
        <v>0 : 0</v>
      </c>
      <c r="M55" s="831" t="str">
        <v>0 : 0</v>
      </c>
      <c r="O55" s="857" t="str">
        <v>Nieuw-Zeeland</v>
      </c>
      <c r="P55" s="829">
        <v>1</v>
      </c>
      <c r="Q55" s="829">
        <v>0</v>
      </c>
      <c r="R55" s="834">
        <v>0</v>
      </c>
      <c r="S55" s="836" t="str">
        <f>Language!$E$197</f>
        <v xml:space="preserve"> : </v>
      </c>
      <c r="T55" s="849">
        <f t="shared" si="24"/>
        <v>0</v>
      </c>
      <c r="U55" s="846" t="str">
        <v>0 : 0</v>
      </c>
      <c r="V55" s="830" t="str">
        <v/>
      </c>
      <c r="W55" s="829" t="str">
        <v/>
      </c>
      <c r="X55" s="831" t="str">
        <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85</v>
      </c>
    </row>
    <row r="56" spans="2:49">
      <c r="B56" s="862" t="str">
        <v>•</v>
      </c>
      <c r="D56" s="857" t="str">
        <v>Iran</v>
      </c>
      <c r="E56" s="829">
        <v>2</v>
      </c>
      <c r="F56" s="829">
        <f t="shared" si="27"/>
        <v>0</v>
      </c>
      <c r="G56" s="834">
        <v>0</v>
      </c>
      <c r="H56" s="836" t="str">
        <f>Language!$E$197</f>
        <v xml:space="preserve"> : </v>
      </c>
      <c r="I56" s="849">
        <v>0</v>
      </c>
      <c r="J56" s="846" t="str">
        <v>0 : 0</v>
      </c>
      <c r="K56" s="829" t="str">
        <v>0 : 0</v>
      </c>
      <c r="L56" s="830" t="str">
        <v/>
      </c>
      <c r="M56" s="831" t="str">
        <v/>
      </c>
      <c r="O56" s="857" t="str">
        <v/>
      </c>
      <c r="P56" s="829" t="str">
        <v/>
      </c>
      <c r="Q56" s="829" t="str">
        <v/>
      </c>
      <c r="R56" s="834" t="str">
        <v/>
      </c>
      <c r="S56" s="836" t="str">
        <f>Language!$E$197</f>
        <v xml:space="preserve"> : </v>
      </c>
      <c r="T56" s="849" t="str">
        <f t="shared" si="24"/>
        <v/>
      </c>
      <c r="U56" s="846" t="str">
        <v/>
      </c>
      <c r="V56" s="829" t="str">
        <v/>
      </c>
      <c r="W56" s="830" t="str">
        <v/>
      </c>
      <c r="X56" s="831" t="str">
        <v/>
      </c>
      <c r="Z56" s="857" t="str">
        <v>Iran</v>
      </c>
      <c r="AA56" s="829">
        <v>0</v>
      </c>
      <c r="AB56" s="829">
        <v>0</v>
      </c>
      <c r="AC56" s="834">
        <v>0</v>
      </c>
      <c r="AD56" s="836" t="str">
        <f>Language!$E$197</f>
        <v xml:space="preserve"> : </v>
      </c>
      <c r="AE56" s="849">
        <f t="shared" si="25"/>
        <v>0</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21</v>
      </c>
    </row>
    <row r="57" spans="2:49" ht="15.75" thickBot="1">
      <c r="B57" s="862" t="str">
        <v>•</v>
      </c>
      <c r="D57" s="858" t="str">
        <v>Egypte</v>
      </c>
      <c r="E57" s="832">
        <v>2</v>
      </c>
      <c r="F57" s="832">
        <f t="shared" si="27"/>
        <v>0</v>
      </c>
      <c r="G57" s="835">
        <v>0</v>
      </c>
      <c r="H57" s="837" t="str">
        <f>Language!$E$197</f>
        <v xml:space="preserve"> : </v>
      </c>
      <c r="I57" s="850">
        <v>0</v>
      </c>
      <c r="J57" s="847" t="str">
        <v>0 : 0</v>
      </c>
      <c r="K57" s="832" t="str">
        <v>0 : 0</v>
      </c>
      <c r="L57" s="832" t="str">
        <v/>
      </c>
      <c r="M57" s="833" t="str">
        <v/>
      </c>
      <c r="O57" s="858" t="str">
        <v/>
      </c>
      <c r="P57" s="832" t="str">
        <v/>
      </c>
      <c r="Q57" s="832" t="str">
        <v/>
      </c>
      <c r="R57" s="835" t="str">
        <v/>
      </c>
      <c r="S57" s="837" t="str">
        <f>Language!$E$197</f>
        <v xml:space="preserve"> : </v>
      </c>
      <c r="T57" s="850" t="str">
        <f t="shared" si="24"/>
        <v/>
      </c>
      <c r="U57" s="847" t="str">
        <v/>
      </c>
      <c r="V57" s="832" t="str">
        <v/>
      </c>
      <c r="W57" s="832" t="str">
        <v/>
      </c>
      <c r="X57" s="833" t="str">
        <v/>
      </c>
      <c r="Z57" s="858" t="str">
        <v>Egypte</v>
      </c>
      <c r="AA57" s="832">
        <v>0</v>
      </c>
      <c r="AB57" s="832">
        <v>0</v>
      </c>
      <c r="AC57" s="835">
        <v>0</v>
      </c>
      <c r="AD57" s="837" t="str">
        <f>Language!$E$197</f>
        <v xml:space="preserve"> : </v>
      </c>
      <c r="AE57" s="850">
        <f t="shared" si="25"/>
        <v>0</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29</v>
      </c>
    </row>
    <row r="58" spans="2:49" ht="15.75" thickTop="1"/>
    <row r="59" spans="2:49"/>
    <row r="60" spans="2:49" ht="15.75" thickBot="1">
      <c r="D60" s="855"/>
      <c r="Z60" s="885" t="str">
        <f>IF(COUNTBLANK(CalcH!$BN$14:$BN$17)&lt;4,Language!$E$136,"")</f>
        <v/>
      </c>
      <c r="AK60" s="885" t="str">
        <f>IF(COUNTBLANK(CalcH!$BZ$14:$BZ$17)&lt;4,Language!$E$136,"")</f>
        <v/>
      </c>
    </row>
    <row r="61" spans="2:49" ht="24.75" thickTop="1">
      <c r="B61" s="859" t="s">
        <v>31</v>
      </c>
      <c r="C61" s="828"/>
      <c r="D61" s="841"/>
      <c r="E61" s="852" t="str">
        <f>Language!$E$131</f>
        <v>Ptn.</v>
      </c>
      <c r="F61" s="852" t="str">
        <f>Language!$E$132</f>
        <v>DS</v>
      </c>
      <c r="G61" s="1317" t="str">
        <f>Language!$E$133</f>
        <v>Doelpunten</v>
      </c>
      <c r="H61" s="1318"/>
      <c r="I61" s="1318"/>
      <c r="J61" s="844" t="str">
        <f t="array" ref="J61:M61">LEFT(CalcH!$H$21:$K$21,$D$4)</f>
        <v>Spanje</v>
      </c>
      <c r="K61" s="842" t="str">
        <v>Uruguay</v>
      </c>
      <c r="L61" s="842" t="str">
        <v>Saoedi-</v>
      </c>
      <c r="M61" s="843" t="str">
        <v>Kaapver</v>
      </c>
      <c r="O61" s="841"/>
      <c r="P61" s="852" t="str">
        <f>Language!$E$131</f>
        <v>Ptn.</v>
      </c>
      <c r="Q61" s="852" t="str">
        <f>Language!$E$132</f>
        <v>DS</v>
      </c>
      <c r="R61" s="1317" t="str">
        <f>Language!$E$133</f>
        <v>Doelpunten</v>
      </c>
      <c r="S61" s="1318"/>
      <c r="T61" s="1318"/>
      <c r="U61" s="844" t="str">
        <f t="array" ref="U61:X61">LEFT(CalcH!$BE$13:$BH$13,$D$4)</f>
        <v>Spanje</v>
      </c>
      <c r="V61" s="842" t="str">
        <v>Uruguay</v>
      </c>
      <c r="W61" s="842" t="str">
        <v>Saoedi-</v>
      </c>
      <c r="X61" s="843" t="str">
        <v>Kaapver</v>
      </c>
      <c r="Z61" s="841"/>
      <c r="AA61" s="852" t="str">
        <f>Language!$E$131</f>
        <v>Ptn.</v>
      </c>
      <c r="AB61" s="852" t="str">
        <f>Language!$E$132</f>
        <v>DS</v>
      </c>
      <c r="AC61" s="1317" t="str">
        <f>Language!$E$133</f>
        <v>Doelpunten</v>
      </c>
      <c r="AD61" s="1318"/>
      <c r="AE61" s="1318"/>
      <c r="AF61" s="844" t="str">
        <f t="array" ref="AF61:AI61">IF(COUNTBLANK(CalcH!$AZ$22:$AZ$25)&lt;4,LEFT(CalcH!$BE$21:$BH$21,$D$4),LEFT(CalcH!$BS$13:$BV$13,$D$4))</f>
        <v/>
      </c>
      <c r="AG61" s="842" t="str">
        <v/>
      </c>
      <c r="AH61" s="842" t="str">
        <v/>
      </c>
      <c r="AI61" s="843" t="str">
        <v/>
      </c>
      <c r="AK61" s="841"/>
      <c r="AL61" s="852" t="str">
        <f>Language!$E$131</f>
        <v>Ptn.</v>
      </c>
      <c r="AM61" s="852" t="str">
        <f>Language!$E$132</f>
        <v>DS</v>
      </c>
      <c r="AN61" s="1317" t="str">
        <f>Language!$E$133</f>
        <v>Doelpunten</v>
      </c>
      <c r="AO61" s="1318"/>
      <c r="AP61" s="1318"/>
      <c r="AQ61" s="844" t="str">
        <f t="array" ref="AQ61:AT61">LEFT(CalcH!$CE$13:$CH$13,$D$4)</f>
        <v/>
      </c>
      <c r="AR61" s="842" t="str">
        <v/>
      </c>
      <c r="AS61" s="842" t="str">
        <v/>
      </c>
      <c r="AT61" s="843" t="str">
        <v/>
      </c>
      <c r="AV61" s="867" t="str">
        <f>Language!$E$123</f>
        <v>Fair-Play</v>
      </c>
      <c r="AW61" s="868" t="str">
        <f>Language!$E$186</f>
        <v>FIFA-rank.</v>
      </c>
    </row>
    <row r="62" spans="2:49">
      <c r="B62" s="862" t="str">
        <f t="array" ref="B62:B65">IF(CalcH!$M$22:$M$25,"•","")</f>
        <v>•</v>
      </c>
      <c r="D62" s="856" t="str">
        <f t="array" ref="D62:D65">CalcH!$D$22:$D$25</f>
        <v>Spanje</v>
      </c>
      <c r="E62" s="838">
        <f t="array" ref="E62:E65">CalcH!$E$22:$E$25</f>
        <v>3</v>
      </c>
      <c r="F62" s="838">
        <f>G62-I62</f>
        <v>0</v>
      </c>
      <c r="G62" s="839">
        <f t="array" ref="G62:G65">CalcH!$F$22:$F$25</f>
        <v>0</v>
      </c>
      <c r="H62" s="851" t="str">
        <f>Language!$E$197</f>
        <v xml:space="preserve"> : </v>
      </c>
      <c r="I62" s="848">
        <f t="array" ref="I62:I65">CalcH!$G$22:$G$25</f>
        <v>0</v>
      </c>
      <c r="J62" s="845" t="str">
        <f t="array" ref="J62:M65">CalcH!$H$22:$K$25</f>
        <v/>
      </c>
      <c r="K62" s="838" t="str">
        <v>0 : 0</v>
      </c>
      <c r="L62" s="838" t="str">
        <v>0 : 0</v>
      </c>
      <c r="M62" s="840" t="str">
        <v>0 : 0</v>
      </c>
      <c r="O62" s="856" t="str">
        <f t="array" ref="O62:O65">CalcH!$AZ$14:$AZ$17</f>
        <v>Spanje</v>
      </c>
      <c r="P62" s="838">
        <f t="array" ref="P62:P65">CalcH!$BA$14:$BA$17</f>
        <v>3</v>
      </c>
      <c r="Q62" s="838">
        <f t="array" ref="Q62:Q65">CalcH!$BB$14:$BB$17</f>
        <v>0</v>
      </c>
      <c r="R62" s="839">
        <f t="array" ref="R62:R65">CalcH!$BC$14:$BC$17</f>
        <v>0</v>
      </c>
      <c r="S62" s="851" t="str">
        <f>Language!$E$197</f>
        <v xml:space="preserve"> : </v>
      </c>
      <c r="T62" s="848">
        <f t="shared" ref="T62:T65" si="28">IF(O62="","",R62-Q62)</f>
        <v>0</v>
      </c>
      <c r="U62" s="845" t="str">
        <f t="array" ref="U62:X65">CalcH!$BE$14:$BH$17</f>
        <v/>
      </c>
      <c r="V62" s="838" t="str">
        <v>0 : 0</v>
      </c>
      <c r="W62" s="838" t="str">
        <v>0 : 0</v>
      </c>
      <c r="X62" s="840" t="str">
        <v>0 : 0</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c r="B63" s="862" t="str">
        <v>•</v>
      </c>
      <c r="D63" s="857" t="str">
        <v>Uruguay</v>
      </c>
      <c r="E63" s="829">
        <v>3</v>
      </c>
      <c r="F63" s="829">
        <f t="shared" ref="F63:F65" si="31">G63-I63</f>
        <v>0</v>
      </c>
      <c r="G63" s="834">
        <v>0</v>
      </c>
      <c r="H63" s="836" t="str">
        <f>Language!$E$197</f>
        <v xml:space="preserve"> : </v>
      </c>
      <c r="I63" s="849">
        <v>0</v>
      </c>
      <c r="J63" s="846" t="str">
        <v>0 : 0</v>
      </c>
      <c r="K63" s="830" t="str">
        <v/>
      </c>
      <c r="L63" s="829" t="str">
        <v>0 : 0</v>
      </c>
      <c r="M63" s="831" t="str">
        <v>0 : 0</v>
      </c>
      <c r="O63" s="857" t="str">
        <v>Uruguay</v>
      </c>
      <c r="P63" s="829">
        <v>3</v>
      </c>
      <c r="Q63" s="829">
        <v>0</v>
      </c>
      <c r="R63" s="834">
        <v>0</v>
      </c>
      <c r="S63" s="836" t="str">
        <f>Language!$E$197</f>
        <v xml:space="preserve"> : </v>
      </c>
      <c r="T63" s="849">
        <f t="shared" si="28"/>
        <v>0</v>
      </c>
      <c r="U63" s="846" t="str">
        <v>0 : 0</v>
      </c>
      <c r="V63" s="830" t="str">
        <v/>
      </c>
      <c r="W63" s="829" t="str">
        <v>0 : 0</v>
      </c>
      <c r="X63" s="831" t="str">
        <v>0 : 0</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17</v>
      </c>
    </row>
    <row r="64" spans="2:49">
      <c r="B64" s="862" t="str">
        <v>•</v>
      </c>
      <c r="D64" s="857" t="str">
        <v>Saoedi-Arabië</v>
      </c>
      <c r="E64" s="829">
        <v>3</v>
      </c>
      <c r="F64" s="829">
        <f t="shared" si="31"/>
        <v>0</v>
      </c>
      <c r="G64" s="834">
        <v>0</v>
      </c>
      <c r="H64" s="836" t="str">
        <f>Language!$E$197</f>
        <v xml:space="preserve"> : </v>
      </c>
      <c r="I64" s="849">
        <v>0</v>
      </c>
      <c r="J64" s="846" t="str">
        <v>0 : 0</v>
      </c>
      <c r="K64" s="829" t="str">
        <v>0 : 0</v>
      </c>
      <c r="L64" s="830" t="str">
        <v/>
      </c>
      <c r="M64" s="831" t="str">
        <v>0 : 0</v>
      </c>
      <c r="O64" s="857" t="str">
        <v>Saoedi-Arabië</v>
      </c>
      <c r="P64" s="829">
        <v>3</v>
      </c>
      <c r="Q64" s="829">
        <v>0</v>
      </c>
      <c r="R64" s="834">
        <v>0</v>
      </c>
      <c r="S64" s="836" t="str">
        <f>Language!$E$197</f>
        <v xml:space="preserve"> : </v>
      </c>
      <c r="T64" s="849">
        <f t="shared" si="28"/>
        <v>0</v>
      </c>
      <c r="U64" s="846" t="str">
        <v>0 : 0</v>
      </c>
      <c r="V64" s="829" t="str">
        <v>0 : 0</v>
      </c>
      <c r="W64" s="830" t="str">
        <v/>
      </c>
      <c r="X64" s="831" t="str">
        <v>0 : 0</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61</v>
      </c>
    </row>
    <row r="65" spans="2:49" ht="15.75" thickBot="1">
      <c r="B65" s="862" t="str">
        <v>•</v>
      </c>
      <c r="D65" s="858" t="str">
        <v>Kaapverdië</v>
      </c>
      <c r="E65" s="832">
        <v>3</v>
      </c>
      <c r="F65" s="832">
        <f t="shared" si="31"/>
        <v>0</v>
      </c>
      <c r="G65" s="835">
        <v>0</v>
      </c>
      <c r="H65" s="837" t="str">
        <f>Language!$E$197</f>
        <v xml:space="preserve"> : </v>
      </c>
      <c r="I65" s="850">
        <v>0</v>
      </c>
      <c r="J65" s="847" t="str">
        <v>0 : 0</v>
      </c>
      <c r="K65" s="832" t="str">
        <v>0 : 0</v>
      </c>
      <c r="L65" s="832" t="str">
        <v>0 : 0</v>
      </c>
      <c r="M65" s="833" t="str">
        <v/>
      </c>
      <c r="O65" s="858" t="str">
        <v>Kaapverdië</v>
      </c>
      <c r="P65" s="832">
        <v>3</v>
      </c>
      <c r="Q65" s="832">
        <v>0</v>
      </c>
      <c r="R65" s="835">
        <v>0</v>
      </c>
      <c r="S65" s="837" t="str">
        <f>Language!$E$197</f>
        <v xml:space="preserve"> : </v>
      </c>
      <c r="T65" s="850">
        <f t="shared" si="28"/>
        <v>0</v>
      </c>
      <c r="U65" s="847" t="str">
        <v>0 : 0</v>
      </c>
      <c r="V65" s="832" t="str">
        <v>0 : 0</v>
      </c>
      <c r="W65" s="832" t="str">
        <v>0 : 0</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69</v>
      </c>
    </row>
    <row r="66" spans="2:49" ht="15.75" thickTop="1"/>
    <row r="67" spans="2:49"/>
    <row r="68" spans="2:49" ht="15.75" thickBot="1">
      <c r="D68" s="855"/>
      <c r="Z68" s="885" t="str">
        <f>IF(COUNTBLANK(CalcI!$BN$14:$BN$17)&lt;4,Language!$E$136,"")</f>
        <v/>
      </c>
      <c r="AK68" s="885" t="str">
        <f>IF(COUNTBLANK(CalcI!$BZ$14:$BZ$17)&lt;4,Language!$E$136,"")</f>
        <v/>
      </c>
    </row>
    <row r="69" spans="2:49" ht="24.75" thickTop="1">
      <c r="B69" s="859" t="s">
        <v>32</v>
      </c>
      <c r="C69" s="828"/>
      <c r="D69" s="841"/>
      <c r="E69" s="852" t="str">
        <f>Language!$E$131</f>
        <v>Ptn.</v>
      </c>
      <c r="F69" s="852" t="str">
        <f>Language!$E$132</f>
        <v>DS</v>
      </c>
      <c r="G69" s="1317" t="str">
        <f>Language!$E$133</f>
        <v>Doelpunten</v>
      </c>
      <c r="H69" s="1318"/>
      <c r="I69" s="1318"/>
      <c r="J69" s="844" t="str">
        <f t="array" ref="J69:M69">LEFT(CalcI!$H$21:$K$21,$D$4)</f>
        <v>Frankri</v>
      </c>
      <c r="K69" s="842" t="str">
        <v>Senegal</v>
      </c>
      <c r="L69" s="842" t="str">
        <v>Noorweg</v>
      </c>
      <c r="M69" s="843" t="str">
        <v>Irak</v>
      </c>
      <c r="O69" s="841"/>
      <c r="P69" s="852" t="str">
        <f>Language!$E$131</f>
        <v>Ptn.</v>
      </c>
      <c r="Q69" s="852" t="str">
        <f>Language!$E$132</f>
        <v>DS</v>
      </c>
      <c r="R69" s="1317" t="str">
        <f>Language!$E$133</f>
        <v>Doelpunten</v>
      </c>
      <c r="S69" s="1318"/>
      <c r="T69" s="1318"/>
      <c r="U69" s="844" t="str">
        <f t="array" ref="U69:X69">LEFT(CalcI!$BE$13:$BH$13,$D$4)</f>
        <v>Frankri</v>
      </c>
      <c r="V69" s="842" t="str">
        <v>Senegal</v>
      </c>
      <c r="W69" s="842" t="str">
        <v>Noorweg</v>
      </c>
      <c r="X69" s="843" t="str">
        <v>Irak</v>
      </c>
      <c r="Z69" s="841"/>
      <c r="AA69" s="852" t="str">
        <f>Language!$E$131</f>
        <v>Ptn.</v>
      </c>
      <c r="AB69" s="852" t="str">
        <f>Language!$E$132</f>
        <v>DS</v>
      </c>
      <c r="AC69" s="1317" t="str">
        <f>Language!$E$133</f>
        <v>Doelpunten</v>
      </c>
      <c r="AD69" s="1318"/>
      <c r="AE69" s="1318"/>
      <c r="AF69" s="844" t="str">
        <f t="array" ref="AF69:AI69">IF(COUNTBLANK(CalcI!$AZ$22:$AZ$25)&lt;4,LEFT(CalcI!$BE$21:$BH$21,$D$4),LEFT(CalcI!$BS$13:$BV$13,$D$4))</f>
        <v/>
      </c>
      <c r="AG69" s="842" t="str">
        <v/>
      </c>
      <c r="AH69" s="842" t="str">
        <v/>
      </c>
      <c r="AI69" s="843" t="str">
        <v/>
      </c>
      <c r="AK69" s="841"/>
      <c r="AL69" s="852" t="str">
        <f>Language!$E$131</f>
        <v>Ptn.</v>
      </c>
      <c r="AM69" s="852" t="str">
        <f>Language!$E$132</f>
        <v>DS</v>
      </c>
      <c r="AN69" s="1317" t="str">
        <f>Language!$E$133</f>
        <v>Doelpunten</v>
      </c>
      <c r="AO69" s="1318"/>
      <c r="AP69" s="1318"/>
      <c r="AQ69" s="844" t="str">
        <f t="array" ref="AQ69:AT69">LEFT(CalcI!$CE$13:$CH$13,$D$4)</f>
        <v/>
      </c>
      <c r="AR69" s="842" t="str">
        <v/>
      </c>
      <c r="AS69" s="842" t="str">
        <v/>
      </c>
      <c r="AT69" s="843" t="str">
        <v/>
      </c>
      <c r="AV69" s="867" t="str">
        <f>Language!$E$123</f>
        <v>Fair-Play</v>
      </c>
      <c r="AW69" s="868" t="str">
        <f>Language!$E$186</f>
        <v>FIFA-rank.</v>
      </c>
    </row>
    <row r="70" spans="2:49">
      <c r="B70" s="862" t="str">
        <f t="array" ref="B70:B73">IF(CalcI!$M$22:$M$25,"•","")</f>
        <v>•</v>
      </c>
      <c r="D70" s="856" t="str">
        <f t="array" ref="D70:D73">CalcI!$D$22:$D$25</f>
        <v>Frankrijk</v>
      </c>
      <c r="E70" s="838">
        <f t="array" ref="E70:E73">CalcI!$E$22:$E$25</f>
        <v>3</v>
      </c>
      <c r="F70" s="838">
        <f>G70-I70</f>
        <v>0</v>
      </c>
      <c r="G70" s="839">
        <f t="array" ref="G70:G73">CalcI!$F$22:$F$25</f>
        <v>0</v>
      </c>
      <c r="H70" s="851" t="str">
        <f>Language!$E$197</f>
        <v xml:space="preserve"> : </v>
      </c>
      <c r="I70" s="848">
        <f t="array" ref="I70:I73">CalcI!$G$22:$G$25</f>
        <v>0</v>
      </c>
      <c r="J70" s="845" t="str">
        <f t="array" ref="J70:M73">CalcI!$H$22:$K$25</f>
        <v/>
      </c>
      <c r="K70" s="838" t="str">
        <v>0 : 0</v>
      </c>
      <c r="L70" s="838" t="str">
        <v>0 : 0</v>
      </c>
      <c r="M70" s="840" t="str">
        <v>0 : 0</v>
      </c>
      <c r="O70" s="856" t="str">
        <f t="array" ref="O70:O73">CalcI!$AZ$14:$AZ$17</f>
        <v>Frankrijk</v>
      </c>
      <c r="P70" s="838">
        <f t="array" ref="P70:P73">CalcI!$BA$14:$BA$17</f>
        <v>3</v>
      </c>
      <c r="Q70" s="838">
        <f t="array" ref="Q70:Q73">CalcI!$BB$14:$BB$17</f>
        <v>0</v>
      </c>
      <c r="R70" s="839">
        <f t="array" ref="R70:R73">CalcI!$BC$14:$BC$17</f>
        <v>0</v>
      </c>
      <c r="S70" s="851" t="str">
        <f>Language!$E$197</f>
        <v xml:space="preserve"> : </v>
      </c>
      <c r="T70" s="848">
        <f t="shared" ref="T70:T73" si="32">IF(O70="","",R70-Q70)</f>
        <v>0</v>
      </c>
      <c r="U70" s="845" t="str">
        <f t="array" ref="U70:X73">CalcI!$BE$14:$BH$17</f>
        <v/>
      </c>
      <c r="V70" s="838" t="str">
        <v>0 : 0</v>
      </c>
      <c r="W70" s="838" t="str">
        <v>0 : 0</v>
      </c>
      <c r="X70" s="840" t="str">
        <v>0 : 0</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c r="B71" s="862" t="str">
        <v>•</v>
      </c>
      <c r="D71" s="857" t="str">
        <v>Senegal</v>
      </c>
      <c r="E71" s="829">
        <v>3</v>
      </c>
      <c r="F71" s="829">
        <f t="shared" ref="F71:F73" si="35">G71-I71</f>
        <v>0</v>
      </c>
      <c r="G71" s="834">
        <v>0</v>
      </c>
      <c r="H71" s="836" t="str">
        <f>Language!$E$197</f>
        <v xml:space="preserve"> : </v>
      </c>
      <c r="I71" s="849">
        <v>0</v>
      </c>
      <c r="J71" s="846" t="str">
        <v>0 : 0</v>
      </c>
      <c r="K71" s="830" t="str">
        <v/>
      </c>
      <c r="L71" s="829" t="str">
        <v>0 : 0</v>
      </c>
      <c r="M71" s="831" t="str">
        <v>0 : 0</v>
      </c>
      <c r="O71" s="857" t="str">
        <v>Senegal</v>
      </c>
      <c r="P71" s="829">
        <v>3</v>
      </c>
      <c r="Q71" s="829">
        <v>0</v>
      </c>
      <c r="R71" s="834">
        <v>0</v>
      </c>
      <c r="S71" s="836" t="str">
        <f>Language!$E$197</f>
        <v xml:space="preserve"> : </v>
      </c>
      <c r="T71" s="849">
        <f t="shared" si="32"/>
        <v>0</v>
      </c>
      <c r="U71" s="846" t="str">
        <v>0 : 0</v>
      </c>
      <c r="V71" s="830" t="str">
        <v/>
      </c>
      <c r="W71" s="829" t="str">
        <v>0 : 0</v>
      </c>
      <c r="X71" s="831" t="str">
        <v>0 : 0</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14</v>
      </c>
    </row>
    <row r="72" spans="2:49">
      <c r="B72" s="862" t="str">
        <v>•</v>
      </c>
      <c r="D72" s="857" t="str">
        <v>Noorwegen</v>
      </c>
      <c r="E72" s="829">
        <v>3</v>
      </c>
      <c r="F72" s="829">
        <f t="shared" si="35"/>
        <v>0</v>
      </c>
      <c r="G72" s="834">
        <v>0</v>
      </c>
      <c r="H72" s="836" t="str">
        <f>Language!$E$197</f>
        <v xml:space="preserve"> : </v>
      </c>
      <c r="I72" s="849">
        <v>0</v>
      </c>
      <c r="J72" s="846" t="str">
        <v>0 : 0</v>
      </c>
      <c r="K72" s="829" t="str">
        <v>0 : 0</v>
      </c>
      <c r="L72" s="830" t="str">
        <v/>
      </c>
      <c r="M72" s="831" t="str">
        <v>0 : 0</v>
      </c>
      <c r="O72" s="857" t="str">
        <v>Noorwegen</v>
      </c>
      <c r="P72" s="829">
        <v>3</v>
      </c>
      <c r="Q72" s="829">
        <v>0</v>
      </c>
      <c r="R72" s="834">
        <v>0</v>
      </c>
      <c r="S72" s="836" t="str">
        <f>Language!$E$197</f>
        <v xml:space="preserve"> : </v>
      </c>
      <c r="T72" s="849">
        <f t="shared" si="32"/>
        <v>0</v>
      </c>
      <c r="U72" s="846" t="str">
        <v>0 : 0</v>
      </c>
      <c r="V72" s="829" t="str">
        <v>0 : 0</v>
      </c>
      <c r="W72" s="830" t="str">
        <v/>
      </c>
      <c r="X72" s="831" t="str">
        <v>0 : 0</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31</v>
      </c>
    </row>
    <row r="73" spans="2:49" ht="15.75" thickBot="1">
      <c r="B73" s="862" t="str">
        <v>•</v>
      </c>
      <c r="D73" s="858" t="str">
        <v>Irak</v>
      </c>
      <c r="E73" s="832">
        <v>3</v>
      </c>
      <c r="F73" s="832">
        <f t="shared" si="35"/>
        <v>0</v>
      </c>
      <c r="G73" s="835">
        <v>0</v>
      </c>
      <c r="H73" s="837" t="str">
        <f>Language!$E$197</f>
        <v xml:space="preserve"> : </v>
      </c>
      <c r="I73" s="850">
        <v>0</v>
      </c>
      <c r="J73" s="847" t="str">
        <v>0 : 0</v>
      </c>
      <c r="K73" s="832" t="str">
        <v>0 : 0</v>
      </c>
      <c r="L73" s="832" t="str">
        <v>0 : 0</v>
      </c>
      <c r="M73" s="833" t="str">
        <v/>
      </c>
      <c r="O73" s="858" t="str">
        <v>Irak</v>
      </c>
      <c r="P73" s="832">
        <v>3</v>
      </c>
      <c r="Q73" s="832">
        <v>0</v>
      </c>
      <c r="R73" s="835">
        <v>0</v>
      </c>
      <c r="S73" s="837" t="str">
        <f>Language!$E$197</f>
        <v xml:space="preserve"> : </v>
      </c>
      <c r="T73" s="850">
        <f t="shared" si="32"/>
        <v>0</v>
      </c>
      <c r="U73" s="847" t="str">
        <v>0 : 0</v>
      </c>
      <c r="V73" s="832" t="str">
        <v>0 : 0</v>
      </c>
      <c r="W73" s="832" t="str">
        <v>0 : 0</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57</v>
      </c>
    </row>
    <row r="74" spans="2:49" ht="15.75" thickTop="1"/>
    <row r="75" spans="2:49"/>
    <row r="76" spans="2:49" ht="15.75" thickBot="1">
      <c r="D76" s="855"/>
      <c r="Z76" s="885" t="str">
        <f>IF(COUNTBLANK(CalcJ!$BN$14:$BN$17)&lt;4,Language!$E$136,"")</f>
        <v/>
      </c>
      <c r="AK76" s="885" t="str">
        <f>IF(COUNTBLANK(CalcJ!$BZ$14:$BZ$17)&lt;4,Language!$E$136,"")</f>
        <v/>
      </c>
    </row>
    <row r="77" spans="2:49" ht="24.75" thickTop="1">
      <c r="B77" s="859" t="s">
        <v>841</v>
      </c>
      <c r="C77" s="828"/>
      <c r="D77" s="841"/>
      <c r="E77" s="852" t="str">
        <f>Language!$E$131</f>
        <v>Ptn.</v>
      </c>
      <c r="F77" s="852" t="str">
        <f>Language!$E$132</f>
        <v>DS</v>
      </c>
      <c r="G77" s="1317" t="str">
        <f>Language!$E$133</f>
        <v>Doelpunten</v>
      </c>
      <c r="H77" s="1318"/>
      <c r="I77" s="1318"/>
      <c r="J77" s="844" t="str">
        <f t="array" ref="J77:M77">LEFT(CalcJ!$H$21:$K$21,$D$4)</f>
        <v>Argenti</v>
      </c>
      <c r="K77" s="842" t="str">
        <v>Oostenr</v>
      </c>
      <c r="L77" s="842" t="str">
        <v>Algerij</v>
      </c>
      <c r="M77" s="843" t="str">
        <v>Jordani</v>
      </c>
      <c r="O77" s="841"/>
      <c r="P77" s="852" t="str">
        <f>Language!$E$131</f>
        <v>Ptn.</v>
      </c>
      <c r="Q77" s="852" t="str">
        <f>Language!$E$132</f>
        <v>DS</v>
      </c>
      <c r="R77" s="1317" t="str">
        <f>Language!$E$133</f>
        <v>Doelpunten</v>
      </c>
      <c r="S77" s="1318"/>
      <c r="T77" s="1318"/>
      <c r="U77" s="844" t="str">
        <f t="array" ref="U77:X77">LEFT(CalcJ!$BE$13:$BH$13,$D$4)</f>
        <v>Argenti</v>
      </c>
      <c r="V77" s="842" t="str">
        <v>Oostenr</v>
      </c>
      <c r="W77" s="842" t="str">
        <v>Algerij</v>
      </c>
      <c r="X77" s="843" t="str">
        <v>Jordani</v>
      </c>
      <c r="Z77" s="841"/>
      <c r="AA77" s="852" t="str">
        <f>Language!$E$131</f>
        <v>Ptn.</v>
      </c>
      <c r="AB77" s="852" t="str">
        <f>Language!$E$132</f>
        <v>DS</v>
      </c>
      <c r="AC77" s="1317" t="str">
        <f>Language!$E$133</f>
        <v>Doelpunten</v>
      </c>
      <c r="AD77" s="1318"/>
      <c r="AE77" s="1318"/>
      <c r="AF77" s="844" t="str">
        <f t="array" ref="AF77:AI77">IF(COUNTBLANK(CalcJ!$AZ$22:$AZ$25)&lt;4,LEFT(CalcJ!$BE$21:$BH$21,$D$4),LEFT(CalcJ!$BS$13:$BV$13,$D$4))</f>
        <v/>
      </c>
      <c r="AG77" s="842" t="str">
        <v/>
      </c>
      <c r="AH77" s="842" t="str">
        <v/>
      </c>
      <c r="AI77" s="843" t="str">
        <v/>
      </c>
      <c r="AK77" s="841"/>
      <c r="AL77" s="852" t="str">
        <f>Language!$E$131</f>
        <v>Ptn.</v>
      </c>
      <c r="AM77" s="852" t="str">
        <f>Language!$E$132</f>
        <v>DS</v>
      </c>
      <c r="AN77" s="1317" t="str">
        <f>Language!$E$133</f>
        <v>Doelpunten</v>
      </c>
      <c r="AO77" s="1318"/>
      <c r="AP77" s="1318"/>
      <c r="AQ77" s="844" t="str">
        <f t="array" ref="AQ77:AT77">LEFT(CalcJ!$CE$13:$CH$13,$D$4)</f>
        <v/>
      </c>
      <c r="AR77" s="842" t="str">
        <v/>
      </c>
      <c r="AS77" s="842" t="str">
        <v/>
      </c>
      <c r="AT77" s="843" t="str">
        <v/>
      </c>
      <c r="AV77" s="867" t="str">
        <f>Language!$E$123</f>
        <v>Fair-Play</v>
      </c>
      <c r="AW77" s="868" t="str">
        <f>Language!$E$186</f>
        <v>FIFA-rank.</v>
      </c>
    </row>
    <row r="78" spans="2:49">
      <c r="B78" s="862" t="str">
        <f t="array" ref="B78:B81">IF(CalcJ!$M$22:$M$25,"•","")</f>
        <v>•</v>
      </c>
      <c r="D78" s="856" t="str">
        <f t="array" ref="D78:D81">CalcJ!$D$22:$D$25</f>
        <v>Argentinië</v>
      </c>
      <c r="E78" s="838">
        <f t="array" ref="E78:E81">CalcJ!$E$22:$E$25</f>
        <v>3</v>
      </c>
      <c r="F78" s="838">
        <f>G78-I78</f>
        <v>0</v>
      </c>
      <c r="G78" s="839">
        <f t="array" ref="G78:G81">CalcJ!$F$22:$F$25</f>
        <v>0</v>
      </c>
      <c r="H78" s="851" t="str">
        <f>Language!$E$197</f>
        <v xml:space="preserve"> : </v>
      </c>
      <c r="I78" s="848">
        <f t="array" ref="I78:I81">CalcJ!$G$22:$G$25</f>
        <v>0</v>
      </c>
      <c r="J78" s="845" t="str">
        <f t="array" ref="J78:M81">CalcJ!$H$22:$K$25</f>
        <v/>
      </c>
      <c r="K78" s="838" t="str">
        <v>0 : 0</v>
      </c>
      <c r="L78" s="838" t="str">
        <v>0 : 0</v>
      </c>
      <c r="M78" s="840" t="str">
        <v>0 : 0</v>
      </c>
      <c r="O78" s="856" t="str">
        <f t="array" ref="O78:O81">CalcJ!$AZ$14:$AZ$17</f>
        <v>Argentinië</v>
      </c>
      <c r="P78" s="838">
        <f t="array" ref="P78:P81">CalcJ!$BA$14:$BA$17</f>
        <v>3</v>
      </c>
      <c r="Q78" s="838">
        <f t="array" ref="Q78:Q81">CalcJ!$BB$14:$BB$17</f>
        <v>0</v>
      </c>
      <c r="R78" s="839">
        <f t="array" ref="R78:R81">CalcJ!$BC$14:$BC$17</f>
        <v>0</v>
      </c>
      <c r="S78" s="851" t="str">
        <f>Language!$E$197</f>
        <v xml:space="preserve"> : </v>
      </c>
      <c r="T78" s="848">
        <f t="shared" ref="T78:T81" si="36">IF(O78="","",R78-Q78)</f>
        <v>0</v>
      </c>
      <c r="U78" s="845" t="str">
        <f t="array" ref="U78:X81">CalcJ!$BE$14:$BH$17</f>
        <v/>
      </c>
      <c r="V78" s="838" t="str">
        <v>0 : 0</v>
      </c>
      <c r="W78" s="838" t="str">
        <v>0 : 0</v>
      </c>
      <c r="X78" s="840" t="str">
        <v>0 : 0</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c r="B79" s="862" t="str">
        <v>•</v>
      </c>
      <c r="D79" s="857" t="str">
        <v>Oostenrijk</v>
      </c>
      <c r="E79" s="829">
        <v>3</v>
      </c>
      <c r="F79" s="829">
        <f t="shared" ref="F79:F81" si="39">G79-I79</f>
        <v>0</v>
      </c>
      <c r="G79" s="834">
        <v>0</v>
      </c>
      <c r="H79" s="836" t="str">
        <f>Language!$E$197</f>
        <v xml:space="preserve"> : </v>
      </c>
      <c r="I79" s="849">
        <v>0</v>
      </c>
      <c r="J79" s="846" t="str">
        <v>0 : 0</v>
      </c>
      <c r="K79" s="830" t="str">
        <v/>
      </c>
      <c r="L79" s="829" t="str">
        <v>0 : 0</v>
      </c>
      <c r="M79" s="831" t="str">
        <v>0 : 0</v>
      </c>
      <c r="O79" s="857" t="str">
        <v>Oostenrijk</v>
      </c>
      <c r="P79" s="829">
        <v>3</v>
      </c>
      <c r="Q79" s="829">
        <v>0</v>
      </c>
      <c r="R79" s="834">
        <v>0</v>
      </c>
      <c r="S79" s="836" t="str">
        <f>Language!$E$197</f>
        <v xml:space="preserve"> : </v>
      </c>
      <c r="T79" s="849">
        <f t="shared" si="36"/>
        <v>0</v>
      </c>
      <c r="U79" s="846" t="str">
        <v>0 : 0</v>
      </c>
      <c r="V79" s="830" t="str">
        <v/>
      </c>
      <c r="W79" s="829" t="str">
        <v>0 : 0</v>
      </c>
      <c r="X79" s="831" t="str">
        <v>0 : 0</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24</v>
      </c>
    </row>
    <row r="80" spans="2:49">
      <c r="B80" s="862" t="str">
        <v>•</v>
      </c>
      <c r="D80" s="857" t="str">
        <v>Algerije</v>
      </c>
      <c r="E80" s="829">
        <v>3</v>
      </c>
      <c r="F80" s="829">
        <f t="shared" si="39"/>
        <v>0</v>
      </c>
      <c r="G80" s="834">
        <v>0</v>
      </c>
      <c r="H80" s="836" t="str">
        <f>Language!$E$197</f>
        <v xml:space="preserve"> : </v>
      </c>
      <c r="I80" s="849">
        <v>0</v>
      </c>
      <c r="J80" s="846" t="str">
        <v>0 : 0</v>
      </c>
      <c r="K80" s="829" t="str">
        <v>0 : 0</v>
      </c>
      <c r="L80" s="830" t="str">
        <v/>
      </c>
      <c r="M80" s="831" t="str">
        <v>0 : 0</v>
      </c>
      <c r="O80" s="857" t="str">
        <v>Algerije</v>
      </c>
      <c r="P80" s="829">
        <v>3</v>
      </c>
      <c r="Q80" s="829">
        <v>0</v>
      </c>
      <c r="R80" s="834">
        <v>0</v>
      </c>
      <c r="S80" s="836" t="str">
        <f>Language!$E$197</f>
        <v xml:space="preserve"> : </v>
      </c>
      <c r="T80" s="849">
        <f t="shared" si="36"/>
        <v>0</v>
      </c>
      <c r="U80" s="846" t="str">
        <v>0 : 0</v>
      </c>
      <c r="V80" s="829" t="str">
        <v>0 : 0</v>
      </c>
      <c r="W80" s="830" t="str">
        <v/>
      </c>
      <c r="X80" s="831" t="str">
        <v>0 : 0</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28</v>
      </c>
    </row>
    <row r="81" spans="2:49" ht="15.75" thickBot="1">
      <c r="B81" s="862" t="str">
        <v>•</v>
      </c>
      <c r="D81" s="858" t="str">
        <v>Jordanië</v>
      </c>
      <c r="E81" s="832">
        <v>3</v>
      </c>
      <c r="F81" s="832">
        <f t="shared" si="39"/>
        <v>0</v>
      </c>
      <c r="G81" s="835">
        <v>0</v>
      </c>
      <c r="H81" s="837" t="str">
        <f>Language!$E$197</f>
        <v xml:space="preserve"> : </v>
      </c>
      <c r="I81" s="850">
        <v>0</v>
      </c>
      <c r="J81" s="847" t="str">
        <v>0 : 0</v>
      </c>
      <c r="K81" s="832" t="str">
        <v>0 : 0</v>
      </c>
      <c r="L81" s="832" t="str">
        <v>0 : 0</v>
      </c>
      <c r="M81" s="833" t="str">
        <v/>
      </c>
      <c r="O81" s="858" t="str">
        <v>Jordanië</v>
      </c>
      <c r="P81" s="832">
        <v>3</v>
      </c>
      <c r="Q81" s="832">
        <v>0</v>
      </c>
      <c r="R81" s="835">
        <v>0</v>
      </c>
      <c r="S81" s="837" t="str">
        <f>Language!$E$197</f>
        <v xml:space="preserve"> : </v>
      </c>
      <c r="T81" s="850">
        <f t="shared" si="36"/>
        <v>0</v>
      </c>
      <c r="U81" s="847" t="str">
        <v>0 : 0</v>
      </c>
      <c r="V81" s="832" t="str">
        <v>0 : 0</v>
      </c>
      <c r="W81" s="832" t="str">
        <v>0 : 0</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row r="83" spans="2:49"/>
    <row r="84" spans="2:49" ht="15.75" thickBot="1">
      <c r="D84" s="855"/>
      <c r="Z84" s="885" t="str">
        <f>IF(COUNTBLANK(CalcK!$BN$14:$BN$17)&lt;4,Language!$E$136,"")</f>
        <v/>
      </c>
      <c r="AK84" s="885" t="str">
        <f>IF(COUNTBLANK(CalcK!$BZ$14:$BZ$17)&lt;4,Language!$E$136,"")</f>
        <v/>
      </c>
    </row>
    <row r="85" spans="2:49" ht="24.75" thickTop="1">
      <c r="B85" s="859" t="s">
        <v>33</v>
      </c>
      <c r="C85" s="828"/>
      <c r="D85" s="841"/>
      <c r="E85" s="852" t="str">
        <f>Language!$E$131</f>
        <v>Ptn.</v>
      </c>
      <c r="F85" s="852" t="str">
        <f>Language!$E$132</f>
        <v>DS</v>
      </c>
      <c r="G85" s="1317" t="str">
        <f>Language!$E$133</f>
        <v>Doelpunten</v>
      </c>
      <c r="H85" s="1318"/>
      <c r="I85" s="1318"/>
      <c r="J85" s="844" t="str">
        <f t="array" ref="J85:M85">LEFT(CalcK!$H$21:$K$21,$D$4)</f>
        <v>Portuga</v>
      </c>
      <c r="K85" s="842" t="str">
        <v>Colombi</v>
      </c>
      <c r="L85" s="842" t="str">
        <v>Congo</v>
      </c>
      <c r="M85" s="843" t="str">
        <v>Oezbeki</v>
      </c>
      <c r="O85" s="841"/>
      <c r="P85" s="852" t="str">
        <f>Language!$E$131</f>
        <v>Ptn.</v>
      </c>
      <c r="Q85" s="852" t="str">
        <f>Language!$E$132</f>
        <v>DS</v>
      </c>
      <c r="R85" s="1317" t="str">
        <f>Language!$E$133</f>
        <v>Doelpunten</v>
      </c>
      <c r="S85" s="1318"/>
      <c r="T85" s="1318"/>
      <c r="U85" s="844" t="str">
        <f t="array" ref="U85:X85">LEFT(CalcK!$BE$13:$BH$13,$D$4)</f>
        <v>Portuga</v>
      </c>
      <c r="V85" s="842" t="str">
        <v>Colombi</v>
      </c>
      <c r="W85" s="842" t="str">
        <v>Congo</v>
      </c>
      <c r="X85" s="843" t="str">
        <v>Oezbeki</v>
      </c>
      <c r="Z85" s="841"/>
      <c r="AA85" s="852" t="str">
        <f>Language!$E$131</f>
        <v>Ptn.</v>
      </c>
      <c r="AB85" s="852" t="str">
        <f>Language!$E$132</f>
        <v>DS</v>
      </c>
      <c r="AC85" s="1317" t="str">
        <f>Language!$E$133</f>
        <v>Doelpunten</v>
      </c>
      <c r="AD85" s="1318"/>
      <c r="AE85" s="1318"/>
      <c r="AF85" s="844" t="str">
        <f t="array" ref="AF85:AI85">IF(COUNTBLANK(CalcK!$AZ$22:$AZ$25)&lt;4,LEFT(CalcK!$BE$21:$BH$21,$D$4),LEFT(CalcK!$BS$13:$BV$13,$D$4))</f>
        <v/>
      </c>
      <c r="AG85" s="842" t="str">
        <v/>
      </c>
      <c r="AH85" s="842" t="str">
        <v/>
      </c>
      <c r="AI85" s="843" t="str">
        <v/>
      </c>
      <c r="AK85" s="841"/>
      <c r="AL85" s="852" t="str">
        <f>Language!$E$131</f>
        <v>Ptn.</v>
      </c>
      <c r="AM85" s="852" t="str">
        <f>Language!$E$132</f>
        <v>DS</v>
      </c>
      <c r="AN85" s="1317" t="str">
        <f>Language!$E$133</f>
        <v>Doelpunten</v>
      </c>
      <c r="AO85" s="1318"/>
      <c r="AP85" s="1318"/>
      <c r="AQ85" s="844" t="str">
        <f t="array" ref="AQ85:AT85">LEFT(CalcK!$CE$13:$CH$13,$D$4)</f>
        <v/>
      </c>
      <c r="AR85" s="842" t="str">
        <v/>
      </c>
      <c r="AS85" s="842" t="str">
        <v/>
      </c>
      <c r="AT85" s="843" t="str">
        <v/>
      </c>
      <c r="AV85" s="867" t="str">
        <f>Language!$E$123</f>
        <v>Fair-Play</v>
      </c>
      <c r="AW85" s="868" t="str">
        <f>Language!$E$186</f>
        <v>FIFA-rank.</v>
      </c>
    </row>
    <row r="86" spans="2:49">
      <c r="B86" s="862" t="str">
        <f t="array" ref="B86:B89">IF(CalcK!$M$22:$M$25,"•","")</f>
        <v>•</v>
      </c>
      <c r="D86" s="856" t="str">
        <f t="array" ref="D86:D89">CalcK!$D$22:$D$25</f>
        <v>Portugal</v>
      </c>
      <c r="E86" s="838">
        <f t="array" ref="E86:E89">CalcK!$E$22:$E$25</f>
        <v>3</v>
      </c>
      <c r="F86" s="838">
        <f>G86-I86</f>
        <v>0</v>
      </c>
      <c r="G86" s="839">
        <f t="array" ref="G86:G89">CalcK!$F$22:$F$25</f>
        <v>0</v>
      </c>
      <c r="H86" s="851" t="str">
        <f>Language!$E$197</f>
        <v xml:space="preserve"> : </v>
      </c>
      <c r="I86" s="848">
        <f t="array" ref="I86:I89">CalcK!$G$22:$G$25</f>
        <v>0</v>
      </c>
      <c r="J86" s="845" t="str">
        <f t="array" ref="J86:M89">CalcK!$H$22:$K$25</f>
        <v/>
      </c>
      <c r="K86" s="838" t="str">
        <v>0 : 0</v>
      </c>
      <c r="L86" s="838" t="str">
        <v>0 : 0</v>
      </c>
      <c r="M86" s="840" t="str">
        <v>0 : 0</v>
      </c>
      <c r="O86" s="856" t="str">
        <f t="array" ref="O86:O89">CalcK!$AZ$14:$AZ$17</f>
        <v>Portugal</v>
      </c>
      <c r="P86" s="838">
        <f t="array" ref="P86:P89">CalcK!$BA$14:$BA$17</f>
        <v>3</v>
      </c>
      <c r="Q86" s="838">
        <f t="array" ref="Q86:Q89">CalcK!$BB$14:$BB$17</f>
        <v>0</v>
      </c>
      <c r="R86" s="839">
        <f t="array" ref="R86:R89">CalcK!$BC$14:$BC$17</f>
        <v>0</v>
      </c>
      <c r="S86" s="851" t="str">
        <f>Language!$E$197</f>
        <v xml:space="preserve"> : </v>
      </c>
      <c r="T86" s="848">
        <f t="shared" ref="T86:T89" si="40">IF(O86="","",R86-Q86)</f>
        <v>0</v>
      </c>
      <c r="U86" s="845" t="str">
        <f t="array" ref="U86:X89">CalcK!$BE$14:$BH$17</f>
        <v/>
      </c>
      <c r="V86" s="838" t="str">
        <v>0 : 0</v>
      </c>
      <c r="W86" s="838" t="str">
        <v>0 : 0</v>
      </c>
      <c r="X86" s="840" t="str">
        <v>0 : 0</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5</v>
      </c>
    </row>
    <row r="87" spans="2:49">
      <c r="B87" s="862" t="str">
        <v>•</v>
      </c>
      <c r="D87" s="857" t="str">
        <v>Colombia</v>
      </c>
      <c r="E87" s="829">
        <v>3</v>
      </c>
      <c r="F87" s="829">
        <f t="shared" ref="F87:F89" si="43">G87-I87</f>
        <v>0</v>
      </c>
      <c r="G87" s="834">
        <v>0</v>
      </c>
      <c r="H87" s="836" t="str">
        <f>Language!$E$197</f>
        <v xml:space="preserve"> : </v>
      </c>
      <c r="I87" s="849">
        <v>0</v>
      </c>
      <c r="J87" s="846" t="str">
        <v>0 : 0</v>
      </c>
      <c r="K87" s="830" t="str">
        <v/>
      </c>
      <c r="L87" s="829" t="str">
        <v>0 : 0</v>
      </c>
      <c r="M87" s="831" t="str">
        <v>0 : 0</v>
      </c>
      <c r="O87" s="857" t="str">
        <v>Colombia</v>
      </c>
      <c r="P87" s="829">
        <v>3</v>
      </c>
      <c r="Q87" s="829">
        <v>0</v>
      </c>
      <c r="R87" s="834">
        <v>0</v>
      </c>
      <c r="S87" s="836" t="str">
        <f>Language!$E$197</f>
        <v xml:space="preserve"> : </v>
      </c>
      <c r="T87" s="849">
        <f t="shared" si="40"/>
        <v>0</v>
      </c>
      <c r="U87" s="846" t="str">
        <v>0 : 0</v>
      </c>
      <c r="V87" s="830" t="str">
        <v/>
      </c>
      <c r="W87" s="829" t="str">
        <v>0 : 0</v>
      </c>
      <c r="X87" s="831" t="str">
        <v>0 : 0</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13</v>
      </c>
    </row>
    <row r="88" spans="2:49">
      <c r="B88" s="862" t="str">
        <v>•</v>
      </c>
      <c r="D88" s="857" t="str">
        <v>Congo</v>
      </c>
      <c r="E88" s="829">
        <v>3</v>
      </c>
      <c r="F88" s="829">
        <f t="shared" si="43"/>
        <v>0</v>
      </c>
      <c r="G88" s="834">
        <v>0</v>
      </c>
      <c r="H88" s="836" t="str">
        <f>Language!$E$197</f>
        <v xml:space="preserve"> : </v>
      </c>
      <c r="I88" s="849">
        <v>0</v>
      </c>
      <c r="J88" s="846" t="str">
        <v>0 : 0</v>
      </c>
      <c r="K88" s="829" t="str">
        <v>0 : 0</v>
      </c>
      <c r="L88" s="830" t="str">
        <v/>
      </c>
      <c r="M88" s="831" t="str">
        <v>0 : 0</v>
      </c>
      <c r="O88" s="857" t="str">
        <v>Congo</v>
      </c>
      <c r="P88" s="829">
        <v>3</v>
      </c>
      <c r="Q88" s="829">
        <v>0</v>
      </c>
      <c r="R88" s="834">
        <v>0</v>
      </c>
      <c r="S88" s="836" t="str">
        <f>Language!$E$197</f>
        <v xml:space="preserve"> : </v>
      </c>
      <c r="T88" s="849">
        <f t="shared" si="40"/>
        <v>0</v>
      </c>
      <c r="U88" s="846" t="str">
        <v>0 : 0</v>
      </c>
      <c r="V88" s="829" t="str">
        <v>0 : 0</v>
      </c>
      <c r="W88" s="830" t="str">
        <v/>
      </c>
      <c r="X88" s="831" t="str">
        <v>0 : 0</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46</v>
      </c>
    </row>
    <row r="89" spans="2:49" ht="15.75" thickBot="1">
      <c r="B89" s="862" t="str">
        <v>•</v>
      </c>
      <c r="D89" s="858" t="str">
        <v>Oezbekistan</v>
      </c>
      <c r="E89" s="832">
        <v>3</v>
      </c>
      <c r="F89" s="832">
        <f t="shared" si="43"/>
        <v>0</v>
      </c>
      <c r="G89" s="835">
        <v>0</v>
      </c>
      <c r="H89" s="837" t="str">
        <f>Language!$E$197</f>
        <v xml:space="preserve"> : </v>
      </c>
      <c r="I89" s="850">
        <v>0</v>
      </c>
      <c r="J89" s="847" t="str">
        <v>0 : 0</v>
      </c>
      <c r="K89" s="832" t="str">
        <v>0 : 0</v>
      </c>
      <c r="L89" s="832" t="str">
        <v>0 : 0</v>
      </c>
      <c r="M89" s="833" t="str">
        <v/>
      </c>
      <c r="O89" s="858" t="str">
        <v>Oezbekistan</v>
      </c>
      <c r="P89" s="832">
        <v>3</v>
      </c>
      <c r="Q89" s="832">
        <v>0</v>
      </c>
      <c r="R89" s="835">
        <v>0</v>
      </c>
      <c r="S89" s="837" t="str">
        <f>Language!$E$197</f>
        <v xml:space="preserve"> : </v>
      </c>
      <c r="T89" s="850">
        <f t="shared" si="40"/>
        <v>0</v>
      </c>
      <c r="U89" s="847" t="str">
        <v>0 : 0</v>
      </c>
      <c r="V89" s="832" t="str">
        <v>0 : 0</v>
      </c>
      <c r="W89" s="832" t="str">
        <v>0 : 0</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50</v>
      </c>
    </row>
    <row r="90" spans="2:49" ht="15.75" thickTop="1"/>
    <row r="91" spans="2:49"/>
    <row r="92" spans="2:49" ht="15.75" thickBot="1">
      <c r="D92" s="855"/>
      <c r="Z92" s="885" t="str">
        <f>IF(COUNTBLANK(CalcL!$BN$14:$BN$17)&lt;4,Language!$E$136,"")</f>
        <v/>
      </c>
      <c r="AK92" s="885" t="str">
        <f>IF(COUNTBLANK(CalcL!$BZ$14:$BZ$17)&lt;4,Language!$E$136,"")</f>
        <v/>
      </c>
    </row>
    <row r="93" spans="2:49" ht="24.75" thickTop="1">
      <c r="B93" s="859" t="s">
        <v>34</v>
      </c>
      <c r="C93" s="828"/>
      <c r="D93" s="841"/>
      <c r="E93" s="852" t="str">
        <f>Language!$E$131</f>
        <v>Ptn.</v>
      </c>
      <c r="F93" s="852" t="str">
        <f>Language!$E$132</f>
        <v>DS</v>
      </c>
      <c r="G93" s="1317" t="str">
        <f>Language!$E$133</f>
        <v>Doelpunten</v>
      </c>
      <c r="H93" s="1318"/>
      <c r="I93" s="1318"/>
      <c r="J93" s="844" t="str">
        <f t="array" ref="J93:M93">LEFT(CalcL!$H$21:$K$21,$D$4)</f>
        <v>Engelan</v>
      </c>
      <c r="K93" s="842" t="str">
        <v>Kroatië</v>
      </c>
      <c r="L93" s="842" t="str">
        <v>Panama</v>
      </c>
      <c r="M93" s="843" t="str">
        <v>Ghana</v>
      </c>
      <c r="O93" s="841"/>
      <c r="P93" s="852" t="str">
        <f>Language!$E$131</f>
        <v>Ptn.</v>
      </c>
      <c r="Q93" s="852" t="str">
        <f>Language!$E$132</f>
        <v>DS</v>
      </c>
      <c r="R93" s="1317" t="str">
        <f>Language!$E$133</f>
        <v>Doelpunten</v>
      </c>
      <c r="S93" s="1318"/>
      <c r="T93" s="1318"/>
      <c r="U93" s="844" t="str">
        <f t="array" ref="U93:X93">LEFT(CalcL!$BE$13:$BH$13,$D$4)</f>
        <v>Engelan</v>
      </c>
      <c r="V93" s="842" t="str">
        <v>Kroatië</v>
      </c>
      <c r="W93" s="842" t="str">
        <v>Panama</v>
      </c>
      <c r="X93" s="843" t="str">
        <v>Ghana</v>
      </c>
      <c r="Z93" s="841"/>
      <c r="AA93" s="852" t="str">
        <f>Language!$E$131</f>
        <v>Ptn.</v>
      </c>
      <c r="AB93" s="852" t="str">
        <f>Language!$E$132</f>
        <v>DS</v>
      </c>
      <c r="AC93" s="1317" t="str">
        <f>Language!$E$133</f>
        <v>Doelpunten</v>
      </c>
      <c r="AD93" s="1318"/>
      <c r="AE93" s="1318"/>
      <c r="AF93" s="844" t="str">
        <f t="array" ref="AF93:AI93">IF(COUNTBLANK(CalcL!$AZ$22:$AZ$25)&lt;4,LEFT(CalcL!$BE$21:$BH$21,$D$4),LEFT(CalcL!$BS$13:$BV$13,$D$4))</f>
        <v/>
      </c>
      <c r="AG93" s="842" t="str">
        <v/>
      </c>
      <c r="AH93" s="842" t="str">
        <v/>
      </c>
      <c r="AI93" s="843" t="str">
        <v/>
      </c>
      <c r="AK93" s="841"/>
      <c r="AL93" s="852" t="str">
        <f>Language!$E$131</f>
        <v>Ptn.</v>
      </c>
      <c r="AM93" s="852" t="str">
        <f>Language!$E$132</f>
        <v>DS</v>
      </c>
      <c r="AN93" s="1317" t="str">
        <f>Language!$E$133</f>
        <v>Doelpunten</v>
      </c>
      <c r="AO93" s="1318"/>
      <c r="AP93" s="1318"/>
      <c r="AQ93" s="844" t="str">
        <f t="array" ref="AQ93:AT93">LEFT(CalcL!$CE$13:$CH$13,$D$4)</f>
        <v/>
      </c>
      <c r="AR93" s="842" t="str">
        <v/>
      </c>
      <c r="AS93" s="842" t="str">
        <v/>
      </c>
      <c r="AT93" s="843" t="str">
        <v/>
      </c>
      <c r="AV93" s="867" t="str">
        <f>Language!$E$123</f>
        <v>Fair-Play</v>
      </c>
      <c r="AW93" s="868" t="str">
        <f>Language!$E$186</f>
        <v>FIFA-rank.</v>
      </c>
    </row>
    <row r="94" spans="2:49">
      <c r="B94" s="862" t="str">
        <f t="array" ref="B94:B97">IF(CalcL!$M$22:$M$25,"•","")</f>
        <v>•</v>
      </c>
      <c r="D94" s="856" t="str">
        <f t="array" ref="D94:D97">CalcL!$D$22:$D$25</f>
        <v>Engeland</v>
      </c>
      <c r="E94" s="838">
        <f t="array" ref="E94:E97">CalcL!$E$22:$E$25</f>
        <v>3</v>
      </c>
      <c r="F94" s="838">
        <f>G94-I94</f>
        <v>0</v>
      </c>
      <c r="G94" s="839">
        <f t="array" ref="G94:G97">CalcL!$F$22:$F$25</f>
        <v>0</v>
      </c>
      <c r="H94" s="851" t="str">
        <f>Language!$E$197</f>
        <v xml:space="preserve"> : </v>
      </c>
      <c r="I94" s="848">
        <f t="array" ref="I94:I97">CalcL!$G$22:$G$25</f>
        <v>0</v>
      </c>
      <c r="J94" s="845" t="str">
        <f t="array" ref="J94:M97">CalcL!$H$22:$K$25</f>
        <v/>
      </c>
      <c r="K94" s="838" t="str">
        <v>0 : 0</v>
      </c>
      <c r="L94" s="838" t="str">
        <v>0 : 0</v>
      </c>
      <c r="M94" s="840" t="str">
        <v>0 : 0</v>
      </c>
      <c r="O94" s="856" t="str">
        <f t="array" ref="O94:O97">CalcL!$AZ$14:$AZ$17</f>
        <v>Engeland</v>
      </c>
      <c r="P94" s="838">
        <f t="array" ref="P94:P97">CalcL!$BA$14:$BA$17</f>
        <v>3</v>
      </c>
      <c r="Q94" s="838">
        <f t="array" ref="Q94:Q97">CalcL!$BB$14:$BB$17</f>
        <v>0</v>
      </c>
      <c r="R94" s="839">
        <f t="array" ref="R94:R97">CalcL!$BC$14:$BC$17</f>
        <v>0</v>
      </c>
      <c r="S94" s="851" t="str">
        <f>Language!$E$197</f>
        <v xml:space="preserve"> : </v>
      </c>
      <c r="T94" s="848">
        <f t="shared" ref="T94:T97" si="44">IF(O94="","",R94-Q94)</f>
        <v>0</v>
      </c>
      <c r="U94" s="845" t="str">
        <f t="array" ref="U94:X97">CalcL!$BE$14:$BH$17</f>
        <v/>
      </c>
      <c r="V94" s="838" t="str">
        <v>0 : 0</v>
      </c>
      <c r="W94" s="838" t="str">
        <v>0 : 0</v>
      </c>
      <c r="X94" s="840" t="str">
        <v>0 : 0</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c r="B95" s="862" t="str">
        <v>•</v>
      </c>
      <c r="D95" s="857" t="str">
        <v>Kroatië</v>
      </c>
      <c r="E95" s="829">
        <v>3</v>
      </c>
      <c r="F95" s="829">
        <f t="shared" ref="F95:F97" si="47">G95-I95</f>
        <v>0</v>
      </c>
      <c r="G95" s="834">
        <v>0</v>
      </c>
      <c r="H95" s="836" t="str">
        <f>Language!$E$197</f>
        <v xml:space="preserve"> : </v>
      </c>
      <c r="I95" s="849">
        <v>0</v>
      </c>
      <c r="J95" s="846" t="str">
        <v>0 : 0</v>
      </c>
      <c r="K95" s="830" t="str">
        <v/>
      </c>
      <c r="L95" s="829" t="str">
        <v>0 : 0</v>
      </c>
      <c r="M95" s="831" t="str">
        <v>0 : 0</v>
      </c>
      <c r="O95" s="857" t="str">
        <v>Kroatië</v>
      </c>
      <c r="P95" s="829">
        <v>3</v>
      </c>
      <c r="Q95" s="829">
        <v>0</v>
      </c>
      <c r="R95" s="834">
        <v>0</v>
      </c>
      <c r="S95" s="836" t="str">
        <f>Language!$E$197</f>
        <v xml:space="preserve"> : </v>
      </c>
      <c r="T95" s="849">
        <f t="shared" si="44"/>
        <v>0</v>
      </c>
      <c r="U95" s="846" t="str">
        <v>0 : 0</v>
      </c>
      <c r="V95" s="830" t="str">
        <v/>
      </c>
      <c r="W95" s="829" t="str">
        <v>0 : 0</v>
      </c>
      <c r="X95" s="831" t="str">
        <v>0 : 0</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c r="B96" s="862" t="str">
        <v>•</v>
      </c>
      <c r="D96" s="857" t="str">
        <v>Panama</v>
      </c>
      <c r="E96" s="829">
        <v>3</v>
      </c>
      <c r="F96" s="829">
        <f t="shared" si="47"/>
        <v>0</v>
      </c>
      <c r="G96" s="834">
        <v>0</v>
      </c>
      <c r="H96" s="836" t="str">
        <f>Language!$E$197</f>
        <v xml:space="preserve"> : </v>
      </c>
      <c r="I96" s="849">
        <v>0</v>
      </c>
      <c r="J96" s="846" t="str">
        <v>0 : 0</v>
      </c>
      <c r="K96" s="829" t="str">
        <v>0 : 0</v>
      </c>
      <c r="L96" s="830" t="str">
        <v/>
      </c>
      <c r="M96" s="831" t="str">
        <v>0 : 0</v>
      </c>
      <c r="O96" s="857" t="str">
        <v>Panama</v>
      </c>
      <c r="P96" s="829">
        <v>3</v>
      </c>
      <c r="Q96" s="829">
        <v>0</v>
      </c>
      <c r="R96" s="834">
        <v>0</v>
      </c>
      <c r="S96" s="836" t="str">
        <f>Language!$E$197</f>
        <v xml:space="preserve"> : </v>
      </c>
      <c r="T96" s="849">
        <f t="shared" si="44"/>
        <v>0</v>
      </c>
      <c r="U96" s="846" t="str">
        <v>0 : 0</v>
      </c>
      <c r="V96" s="829" t="str">
        <v>0 : 0</v>
      </c>
      <c r="W96" s="830" t="str">
        <v/>
      </c>
      <c r="X96" s="831" t="str">
        <v>0 : 0</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33</v>
      </c>
    </row>
    <row r="97" spans="2:49" ht="15.75" thickBot="1">
      <c r="B97" s="862" t="str">
        <v>•</v>
      </c>
      <c r="D97" s="858" t="str">
        <v>Ghana</v>
      </c>
      <c r="E97" s="832">
        <v>3</v>
      </c>
      <c r="F97" s="832">
        <f t="shared" si="47"/>
        <v>0</v>
      </c>
      <c r="G97" s="835">
        <v>0</v>
      </c>
      <c r="H97" s="837" t="str">
        <f>Language!$E$197</f>
        <v xml:space="preserve"> : </v>
      </c>
      <c r="I97" s="850">
        <v>0</v>
      </c>
      <c r="J97" s="847" t="str">
        <v>0 : 0</v>
      </c>
      <c r="K97" s="832" t="str">
        <v>0 : 0</v>
      </c>
      <c r="L97" s="832" t="str">
        <v>0 : 0</v>
      </c>
      <c r="M97" s="833" t="str">
        <v/>
      </c>
      <c r="O97" s="858" t="str">
        <v>Ghana</v>
      </c>
      <c r="P97" s="832">
        <v>3</v>
      </c>
      <c r="Q97" s="832">
        <v>0</v>
      </c>
      <c r="R97" s="835">
        <v>0</v>
      </c>
      <c r="S97" s="837" t="str">
        <f>Language!$E$197</f>
        <v xml:space="preserve"> : </v>
      </c>
      <c r="T97" s="850">
        <f t="shared" si="44"/>
        <v>0</v>
      </c>
      <c r="U97" s="847" t="str">
        <v>0 : 0</v>
      </c>
      <c r="V97" s="832" t="str">
        <v>0 : 0</v>
      </c>
      <c r="W97" s="832" t="str">
        <v>0 : 0</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74</v>
      </c>
    </row>
    <row r="98" spans="2:49" ht="15.75" thickTop="1"/>
    <row r="99" spans="2:49">
      <c r="C99" s="861" t="s">
        <v>1824</v>
      </c>
      <c r="D99" s="1319" t="str">
        <f>Language!$E$199</f>
        <v>Een rode stip betekent dat de fair play rating of de FIFA-wereldranking de plaatsing van dit team zal bepalen</v>
      </c>
      <c r="E99" s="1319"/>
      <c r="F99" s="1319"/>
      <c r="G99" s="1319"/>
      <c r="H99" s="1319"/>
      <c r="I99" s="1319"/>
      <c r="J99" s="1319"/>
      <c r="K99" s="1319"/>
      <c r="L99" s="1319"/>
      <c r="M99" s="1319"/>
    </row>
    <row r="100" spans="2:49">
      <c r="D100" s="1319"/>
      <c r="E100" s="1319"/>
      <c r="F100" s="1319"/>
      <c r="G100" s="1319"/>
      <c r="H100" s="1319"/>
      <c r="I100" s="1319"/>
      <c r="J100" s="1319"/>
      <c r="K100" s="1319"/>
      <c r="L100" s="1319"/>
      <c r="M100" s="1319"/>
    </row>
    <row r="101" spans="2:49" ht="15" customHeight="1">
      <c r="D101" s="1319"/>
      <c r="E101" s="1319"/>
      <c r="F101" s="1319"/>
      <c r="G101" s="1319"/>
      <c r="H101" s="1319"/>
      <c r="I101" s="1319"/>
      <c r="J101" s="1319"/>
      <c r="K101" s="1319"/>
      <c r="L101" s="1319"/>
      <c r="M101" s="1319"/>
    </row>
    <row r="102" spans="2:49"/>
  </sheetData>
  <sheetProtection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1219" priority="1">
      <formula>$B6=""</formula>
    </cfRule>
  </conditionalFormatting>
  <pageMargins left="0.7" right="0.7" top="0.78740157499999996" bottom="0.78740157499999996"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2578125" defaultRowHeight="15.75" zeroHeight="1"/>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46" t="str">
        <f>Language!$E$204</f>
        <v>Voorspellingen</v>
      </c>
      <c r="C1" s="1346"/>
      <c r="D1" s="1346"/>
      <c r="E1" s="1346"/>
      <c r="F1" s="1346"/>
      <c r="G1" s="1346"/>
    </row>
    <row r="2" spans="1:345" ht="18.75" customHeight="1">
      <c r="A2" s="232"/>
      <c r="B2" s="232"/>
      <c r="C2" s="233"/>
      <c r="D2" s="233"/>
      <c r="E2" s="233"/>
      <c r="I2" s="1335">
        <f>O132</f>
        <v>0</v>
      </c>
      <c r="J2" s="1335"/>
      <c r="K2" s="1335"/>
      <c r="L2" s="1335"/>
      <c r="M2" s="1335"/>
      <c r="N2" s="1335"/>
      <c r="O2" s="1335"/>
      <c r="P2" s="1335"/>
      <c r="Q2" s="1335"/>
      <c r="R2" s="1335"/>
      <c r="S2" s="1335"/>
      <c r="T2" s="1335"/>
      <c r="V2" s="1335">
        <f>AB132</f>
        <v>0</v>
      </c>
      <c r="W2" s="1335"/>
      <c r="X2" s="1335"/>
      <c r="Y2" s="1335"/>
      <c r="Z2" s="1335"/>
      <c r="AA2" s="1335"/>
      <c r="AB2" s="1335"/>
      <c r="AC2" s="1335"/>
      <c r="AD2" s="1335"/>
      <c r="AE2" s="1335"/>
      <c r="AF2" s="1335"/>
      <c r="AG2" s="1335"/>
      <c r="AI2" s="1335">
        <f>AO132</f>
        <v>0</v>
      </c>
      <c r="AJ2" s="1335"/>
      <c r="AK2" s="1335"/>
      <c r="AL2" s="1335"/>
      <c r="AM2" s="1335"/>
      <c r="AN2" s="1335"/>
      <c r="AO2" s="1335"/>
      <c r="AP2" s="1335"/>
      <c r="AQ2" s="1335"/>
      <c r="AR2" s="1335"/>
      <c r="AS2" s="1335"/>
      <c r="AT2" s="1335"/>
      <c r="AV2" s="1335">
        <f>BB132</f>
        <v>0</v>
      </c>
      <c r="AW2" s="1335"/>
      <c r="AX2" s="1335"/>
      <c r="AY2" s="1335"/>
      <c r="AZ2" s="1335"/>
      <c r="BA2" s="1335"/>
      <c r="BB2" s="1335"/>
      <c r="BC2" s="1335"/>
      <c r="BD2" s="1335"/>
      <c r="BE2" s="1335"/>
      <c r="BF2" s="1335"/>
      <c r="BG2" s="1335"/>
      <c r="BI2" s="1335">
        <f>BO132</f>
        <v>0</v>
      </c>
      <c r="BJ2" s="1335"/>
      <c r="BK2" s="1335"/>
      <c r="BL2" s="1335"/>
      <c r="BM2" s="1335"/>
      <c r="BN2" s="1335"/>
      <c r="BO2" s="1335"/>
      <c r="BP2" s="1335"/>
      <c r="BQ2" s="1335"/>
      <c r="BR2" s="1335"/>
      <c r="BS2" s="1335"/>
      <c r="BT2" s="1335"/>
      <c r="BV2" s="1335">
        <f>CB132</f>
        <v>0</v>
      </c>
      <c r="BW2" s="1335"/>
      <c r="BX2" s="1335"/>
      <c r="BY2" s="1335"/>
      <c r="BZ2" s="1335"/>
      <c r="CA2" s="1335"/>
      <c r="CB2" s="1335"/>
      <c r="CC2" s="1335"/>
      <c r="CD2" s="1335"/>
      <c r="CE2" s="1335"/>
      <c r="CF2" s="1335"/>
      <c r="CG2" s="1335"/>
      <c r="CI2" s="1335">
        <f>CO132</f>
        <v>0</v>
      </c>
      <c r="CJ2" s="1335"/>
      <c r="CK2" s="1335"/>
      <c r="CL2" s="1335"/>
      <c r="CM2" s="1335"/>
      <c r="CN2" s="1335"/>
      <c r="CO2" s="1335"/>
      <c r="CP2" s="1335"/>
      <c r="CQ2" s="1335"/>
      <c r="CR2" s="1335"/>
      <c r="CS2" s="1335"/>
      <c r="CT2" s="1335"/>
      <c r="CV2" s="1335">
        <f>DB132</f>
        <v>0</v>
      </c>
      <c r="CW2" s="1335"/>
      <c r="CX2" s="1335"/>
      <c r="CY2" s="1335"/>
      <c r="CZ2" s="1335"/>
      <c r="DA2" s="1335"/>
      <c r="DB2" s="1335"/>
      <c r="DC2" s="1335"/>
      <c r="DD2" s="1335"/>
      <c r="DE2" s="1335"/>
      <c r="DF2" s="1335"/>
      <c r="DG2" s="1335"/>
      <c r="DI2" s="1335">
        <f>DO132</f>
        <v>0</v>
      </c>
      <c r="DJ2" s="1335"/>
      <c r="DK2" s="1335"/>
      <c r="DL2" s="1335"/>
      <c r="DM2" s="1335"/>
      <c r="DN2" s="1335"/>
      <c r="DO2" s="1335"/>
      <c r="DP2" s="1335"/>
      <c r="DQ2" s="1335"/>
      <c r="DR2" s="1335"/>
      <c r="DS2" s="1335"/>
      <c r="DT2" s="1335"/>
      <c r="DV2" s="1335">
        <f>EB132</f>
        <v>0</v>
      </c>
      <c r="DW2" s="1335"/>
      <c r="DX2" s="1335"/>
      <c r="DY2" s="1335"/>
      <c r="DZ2" s="1335"/>
      <c r="EA2" s="1335"/>
      <c r="EB2" s="1335"/>
      <c r="EC2" s="1335"/>
      <c r="ED2" s="1335"/>
      <c r="EE2" s="1335"/>
      <c r="EF2" s="1335"/>
      <c r="EG2" s="1335"/>
      <c r="EI2" s="1335">
        <f>EO132</f>
        <v>0</v>
      </c>
      <c r="EJ2" s="1335"/>
      <c r="EK2" s="1335"/>
      <c r="EL2" s="1335"/>
      <c r="EM2" s="1335"/>
      <c r="EN2" s="1335"/>
      <c r="EO2" s="1335"/>
      <c r="EP2" s="1335"/>
      <c r="EQ2" s="1335"/>
      <c r="ER2" s="1335"/>
      <c r="ES2" s="1335"/>
      <c r="ET2" s="1335"/>
      <c r="EV2" s="1335">
        <f>FB132</f>
        <v>0</v>
      </c>
      <c r="EW2" s="1335"/>
      <c r="EX2" s="1335"/>
      <c r="EY2" s="1335"/>
      <c r="EZ2" s="1335"/>
      <c r="FA2" s="1335"/>
      <c r="FB2" s="1335"/>
      <c r="FC2" s="1335"/>
      <c r="FD2" s="1335"/>
      <c r="FE2" s="1335"/>
      <c r="FF2" s="1335"/>
      <c r="FG2" s="1335"/>
      <c r="FI2" s="1335">
        <f>FO132</f>
        <v>0</v>
      </c>
      <c r="FJ2" s="1335"/>
      <c r="FK2" s="1335"/>
      <c r="FL2" s="1335"/>
      <c r="FM2" s="1335"/>
      <c r="FN2" s="1335"/>
      <c r="FO2" s="1335"/>
      <c r="FP2" s="1335"/>
      <c r="FQ2" s="1335"/>
      <c r="FR2" s="1335"/>
      <c r="FS2" s="1335"/>
      <c r="FT2" s="1335"/>
      <c r="FV2" s="1335">
        <f>GB132</f>
        <v>0</v>
      </c>
      <c r="FW2" s="1335"/>
      <c r="FX2" s="1335"/>
      <c r="FY2" s="1335"/>
      <c r="FZ2" s="1335"/>
      <c r="GA2" s="1335"/>
      <c r="GB2" s="1335"/>
      <c r="GC2" s="1335"/>
      <c r="GD2" s="1335"/>
      <c r="GE2" s="1335"/>
      <c r="GF2" s="1335"/>
      <c r="GG2" s="1335"/>
      <c r="GI2" s="1335">
        <f>GO132</f>
        <v>0</v>
      </c>
      <c r="GJ2" s="1335"/>
      <c r="GK2" s="1335"/>
      <c r="GL2" s="1335"/>
      <c r="GM2" s="1335"/>
      <c r="GN2" s="1335"/>
      <c r="GO2" s="1335"/>
      <c r="GP2" s="1335"/>
      <c r="GQ2" s="1335"/>
      <c r="GR2" s="1335"/>
      <c r="GS2" s="1335"/>
      <c r="GT2" s="1335"/>
      <c r="GV2" s="1335">
        <f>HB132</f>
        <v>0</v>
      </c>
      <c r="GW2" s="1335"/>
      <c r="GX2" s="1335"/>
      <c r="GY2" s="1335"/>
      <c r="GZ2" s="1335"/>
      <c r="HA2" s="1335"/>
      <c r="HB2" s="1335"/>
      <c r="HC2" s="1335"/>
      <c r="HD2" s="1335"/>
      <c r="HE2" s="1335"/>
      <c r="HF2" s="1335"/>
      <c r="HG2" s="1335"/>
      <c r="HI2" s="1335">
        <f>HO132</f>
        <v>0</v>
      </c>
      <c r="HJ2" s="1335"/>
      <c r="HK2" s="1335"/>
      <c r="HL2" s="1335"/>
      <c r="HM2" s="1335"/>
      <c r="HN2" s="1335"/>
      <c r="HO2" s="1335"/>
      <c r="HP2" s="1335"/>
      <c r="HQ2" s="1335"/>
      <c r="HR2" s="1335"/>
      <c r="HS2" s="1335"/>
      <c r="HT2" s="1335"/>
      <c r="HV2" s="1335">
        <f>IB132</f>
        <v>0</v>
      </c>
      <c r="HW2" s="1335"/>
      <c r="HX2" s="1335"/>
      <c r="HY2" s="1335"/>
      <c r="HZ2" s="1335"/>
      <c r="IA2" s="1335"/>
      <c r="IB2" s="1335"/>
      <c r="IC2" s="1335"/>
      <c r="ID2" s="1335"/>
      <c r="IE2" s="1335"/>
      <c r="IF2" s="1335"/>
      <c r="IG2" s="1335"/>
      <c r="II2" s="1335">
        <f>IO132</f>
        <v>0</v>
      </c>
      <c r="IJ2" s="1335"/>
      <c r="IK2" s="1335"/>
      <c r="IL2" s="1335"/>
      <c r="IM2" s="1335"/>
      <c r="IN2" s="1335"/>
      <c r="IO2" s="1335"/>
      <c r="IP2" s="1335"/>
      <c r="IQ2" s="1335"/>
      <c r="IR2" s="1335"/>
      <c r="IS2" s="1335"/>
      <c r="IT2" s="1335"/>
      <c r="IV2" s="1335">
        <f>JB132</f>
        <v>0</v>
      </c>
      <c r="IW2" s="1335"/>
      <c r="IX2" s="1335"/>
      <c r="IY2" s="1335"/>
      <c r="IZ2" s="1335"/>
      <c r="JA2" s="1335"/>
      <c r="JB2" s="1335"/>
      <c r="JC2" s="1335"/>
      <c r="JD2" s="1335"/>
      <c r="JE2" s="1335"/>
      <c r="JF2" s="1335"/>
      <c r="JG2" s="1335"/>
      <c r="JI2" s="1335">
        <f>JO132</f>
        <v>0</v>
      </c>
      <c r="JJ2" s="1335"/>
      <c r="JK2" s="1335"/>
      <c r="JL2" s="1335"/>
      <c r="JM2" s="1335"/>
      <c r="JN2" s="1335"/>
      <c r="JO2" s="1335"/>
      <c r="JP2" s="1335"/>
      <c r="JQ2" s="1335"/>
      <c r="JR2" s="1335"/>
      <c r="JS2" s="1335"/>
      <c r="JT2" s="1335"/>
      <c r="JV2" s="1335">
        <f>KB132</f>
        <v>0</v>
      </c>
      <c r="JW2" s="1335"/>
      <c r="JX2" s="1335"/>
      <c r="JY2" s="1335"/>
      <c r="JZ2" s="1335"/>
      <c r="KA2" s="1335"/>
      <c r="KB2" s="1335"/>
      <c r="KC2" s="1335"/>
      <c r="KD2" s="1335"/>
      <c r="KE2" s="1335"/>
      <c r="KF2" s="1335"/>
      <c r="KG2" s="1335"/>
      <c r="KI2" s="1335">
        <f>KO132</f>
        <v>0</v>
      </c>
      <c r="KJ2" s="1335"/>
      <c r="KK2" s="1335"/>
      <c r="KL2" s="1335"/>
      <c r="KM2" s="1335"/>
      <c r="KN2" s="1335"/>
      <c r="KO2" s="1335"/>
      <c r="KP2" s="1335"/>
      <c r="KQ2" s="1335"/>
      <c r="KR2" s="1335"/>
      <c r="KS2" s="1335"/>
      <c r="KT2" s="1335"/>
      <c r="KV2" s="1335">
        <f>LB132</f>
        <v>0</v>
      </c>
      <c r="KW2" s="1335"/>
      <c r="KX2" s="1335"/>
      <c r="KY2" s="1335"/>
      <c r="KZ2" s="1335"/>
      <c r="LA2" s="1335"/>
      <c r="LB2" s="1335"/>
      <c r="LC2" s="1335"/>
      <c r="LD2" s="1335"/>
      <c r="LE2" s="1335"/>
      <c r="LF2" s="1335"/>
      <c r="LG2" s="1335"/>
      <c r="LI2" s="1335">
        <f>LO132</f>
        <v>0</v>
      </c>
      <c r="LJ2" s="1335"/>
      <c r="LK2" s="1335"/>
      <c r="LL2" s="1335"/>
      <c r="LM2" s="1335"/>
      <c r="LN2" s="1335"/>
      <c r="LO2" s="1335"/>
      <c r="LP2" s="1335"/>
      <c r="LQ2" s="1335"/>
      <c r="LR2" s="1335"/>
      <c r="LS2" s="1335"/>
      <c r="LT2" s="1335"/>
      <c r="LV2" s="1335">
        <f>MB132</f>
        <v>0</v>
      </c>
      <c r="LW2" s="1335"/>
      <c r="LX2" s="1335"/>
      <c r="LY2" s="1335"/>
      <c r="LZ2" s="1335"/>
      <c r="MA2" s="1335"/>
      <c r="MB2" s="1335"/>
      <c r="MC2" s="1335"/>
      <c r="MD2" s="1335"/>
      <c r="ME2" s="1335"/>
      <c r="MF2" s="1335"/>
      <c r="MG2" s="1335"/>
    </row>
    <row r="3" spans="1:345" ht="24.75" customHeight="1" thickBot="1">
      <c r="A3" s="232"/>
      <c r="B3" s="1347" t="str">
        <f>Language!$E$205</f>
        <v>Juiste resultaten</v>
      </c>
      <c r="C3" s="1348"/>
      <c r="D3" s="1348"/>
      <c r="E3" s="1348"/>
      <c r="F3" s="1348"/>
      <c r="G3" s="1349"/>
      <c r="I3" s="1326" t="s">
        <v>560</v>
      </c>
      <c r="J3" s="1327"/>
      <c r="K3" s="1327"/>
      <c r="L3" s="1327"/>
      <c r="M3" s="1327"/>
      <c r="N3" s="1327"/>
      <c r="O3" s="1327"/>
      <c r="P3" s="1327"/>
      <c r="Q3" s="1327"/>
      <c r="R3" s="1327"/>
      <c r="S3" s="1327"/>
      <c r="T3" s="1328"/>
      <c r="V3" s="1326" t="s">
        <v>1643</v>
      </c>
      <c r="W3" s="1327"/>
      <c r="X3" s="1327"/>
      <c r="Y3" s="1327"/>
      <c r="Z3" s="1327"/>
      <c r="AA3" s="1327"/>
      <c r="AB3" s="1327"/>
      <c r="AC3" s="1327"/>
      <c r="AD3" s="1327"/>
      <c r="AE3" s="1327"/>
      <c r="AF3" s="1327"/>
      <c r="AG3" s="1328"/>
      <c r="AI3" s="1326"/>
      <c r="AJ3" s="1327"/>
      <c r="AK3" s="1327"/>
      <c r="AL3" s="1327"/>
      <c r="AM3" s="1327"/>
      <c r="AN3" s="1327"/>
      <c r="AO3" s="1327"/>
      <c r="AP3" s="1327"/>
      <c r="AQ3" s="1327"/>
      <c r="AR3" s="1327"/>
      <c r="AS3" s="1327"/>
      <c r="AT3" s="1328"/>
      <c r="AV3" s="1326"/>
      <c r="AW3" s="1327"/>
      <c r="AX3" s="1327"/>
      <c r="AY3" s="1327"/>
      <c r="AZ3" s="1327"/>
      <c r="BA3" s="1327"/>
      <c r="BB3" s="1327"/>
      <c r="BC3" s="1327"/>
      <c r="BD3" s="1327"/>
      <c r="BE3" s="1327"/>
      <c r="BF3" s="1327"/>
      <c r="BG3" s="1328"/>
      <c r="BI3" s="1326"/>
      <c r="BJ3" s="1327"/>
      <c r="BK3" s="1327"/>
      <c r="BL3" s="1327"/>
      <c r="BM3" s="1327"/>
      <c r="BN3" s="1327"/>
      <c r="BO3" s="1327"/>
      <c r="BP3" s="1327"/>
      <c r="BQ3" s="1327"/>
      <c r="BR3" s="1327"/>
      <c r="BS3" s="1327"/>
      <c r="BT3" s="1328"/>
      <c r="BV3" s="1326"/>
      <c r="BW3" s="1327"/>
      <c r="BX3" s="1327"/>
      <c r="BY3" s="1327"/>
      <c r="BZ3" s="1327"/>
      <c r="CA3" s="1327"/>
      <c r="CB3" s="1327"/>
      <c r="CC3" s="1327"/>
      <c r="CD3" s="1327"/>
      <c r="CE3" s="1327"/>
      <c r="CF3" s="1327"/>
      <c r="CG3" s="1328"/>
      <c r="CI3" s="1326"/>
      <c r="CJ3" s="1327"/>
      <c r="CK3" s="1327"/>
      <c r="CL3" s="1327"/>
      <c r="CM3" s="1327"/>
      <c r="CN3" s="1327"/>
      <c r="CO3" s="1327"/>
      <c r="CP3" s="1327"/>
      <c r="CQ3" s="1327"/>
      <c r="CR3" s="1327"/>
      <c r="CS3" s="1327"/>
      <c r="CT3" s="1328"/>
      <c r="CV3" s="1326"/>
      <c r="CW3" s="1327"/>
      <c r="CX3" s="1327"/>
      <c r="CY3" s="1327"/>
      <c r="CZ3" s="1327"/>
      <c r="DA3" s="1327"/>
      <c r="DB3" s="1327"/>
      <c r="DC3" s="1327"/>
      <c r="DD3" s="1327"/>
      <c r="DE3" s="1327"/>
      <c r="DF3" s="1327"/>
      <c r="DG3" s="1328"/>
      <c r="DI3" s="1326"/>
      <c r="DJ3" s="1327"/>
      <c r="DK3" s="1327"/>
      <c r="DL3" s="1327"/>
      <c r="DM3" s="1327"/>
      <c r="DN3" s="1327"/>
      <c r="DO3" s="1327"/>
      <c r="DP3" s="1327"/>
      <c r="DQ3" s="1327"/>
      <c r="DR3" s="1327"/>
      <c r="DS3" s="1327"/>
      <c r="DT3" s="1328"/>
      <c r="DV3" s="1326"/>
      <c r="DW3" s="1327"/>
      <c r="DX3" s="1327"/>
      <c r="DY3" s="1327"/>
      <c r="DZ3" s="1327"/>
      <c r="EA3" s="1327"/>
      <c r="EB3" s="1327"/>
      <c r="EC3" s="1327"/>
      <c r="ED3" s="1327"/>
      <c r="EE3" s="1327"/>
      <c r="EF3" s="1327"/>
      <c r="EG3" s="1328"/>
      <c r="EI3" s="1326"/>
      <c r="EJ3" s="1327"/>
      <c r="EK3" s="1327"/>
      <c r="EL3" s="1327"/>
      <c r="EM3" s="1327"/>
      <c r="EN3" s="1327"/>
      <c r="EO3" s="1327"/>
      <c r="EP3" s="1327"/>
      <c r="EQ3" s="1327"/>
      <c r="ER3" s="1327"/>
      <c r="ES3" s="1327"/>
      <c r="ET3" s="1328"/>
      <c r="EV3" s="1326"/>
      <c r="EW3" s="1327"/>
      <c r="EX3" s="1327"/>
      <c r="EY3" s="1327"/>
      <c r="EZ3" s="1327"/>
      <c r="FA3" s="1327"/>
      <c r="FB3" s="1327"/>
      <c r="FC3" s="1327"/>
      <c r="FD3" s="1327"/>
      <c r="FE3" s="1327"/>
      <c r="FF3" s="1327"/>
      <c r="FG3" s="1328"/>
      <c r="FI3" s="1326"/>
      <c r="FJ3" s="1327"/>
      <c r="FK3" s="1327"/>
      <c r="FL3" s="1327"/>
      <c r="FM3" s="1327"/>
      <c r="FN3" s="1327"/>
      <c r="FO3" s="1327"/>
      <c r="FP3" s="1327"/>
      <c r="FQ3" s="1327"/>
      <c r="FR3" s="1327"/>
      <c r="FS3" s="1327"/>
      <c r="FT3" s="1328"/>
      <c r="FV3" s="1326"/>
      <c r="FW3" s="1327"/>
      <c r="FX3" s="1327"/>
      <c r="FY3" s="1327"/>
      <c r="FZ3" s="1327"/>
      <c r="GA3" s="1327"/>
      <c r="GB3" s="1327"/>
      <c r="GC3" s="1327"/>
      <c r="GD3" s="1327"/>
      <c r="GE3" s="1327"/>
      <c r="GF3" s="1327"/>
      <c r="GG3" s="1328"/>
      <c r="GI3" s="1326"/>
      <c r="GJ3" s="1327"/>
      <c r="GK3" s="1327"/>
      <c r="GL3" s="1327"/>
      <c r="GM3" s="1327"/>
      <c r="GN3" s="1327"/>
      <c r="GO3" s="1327"/>
      <c r="GP3" s="1327"/>
      <c r="GQ3" s="1327"/>
      <c r="GR3" s="1327"/>
      <c r="GS3" s="1327"/>
      <c r="GT3" s="1328"/>
      <c r="GV3" s="1326"/>
      <c r="GW3" s="1327"/>
      <c r="GX3" s="1327"/>
      <c r="GY3" s="1327"/>
      <c r="GZ3" s="1327"/>
      <c r="HA3" s="1327"/>
      <c r="HB3" s="1327"/>
      <c r="HC3" s="1327"/>
      <c r="HD3" s="1327"/>
      <c r="HE3" s="1327"/>
      <c r="HF3" s="1327"/>
      <c r="HG3" s="1328"/>
      <c r="HI3" s="1326"/>
      <c r="HJ3" s="1327"/>
      <c r="HK3" s="1327"/>
      <c r="HL3" s="1327"/>
      <c r="HM3" s="1327"/>
      <c r="HN3" s="1327"/>
      <c r="HO3" s="1327"/>
      <c r="HP3" s="1327"/>
      <c r="HQ3" s="1327"/>
      <c r="HR3" s="1327"/>
      <c r="HS3" s="1327"/>
      <c r="HT3" s="1328"/>
      <c r="HV3" s="1326"/>
      <c r="HW3" s="1327"/>
      <c r="HX3" s="1327"/>
      <c r="HY3" s="1327"/>
      <c r="HZ3" s="1327"/>
      <c r="IA3" s="1327"/>
      <c r="IB3" s="1327"/>
      <c r="IC3" s="1327"/>
      <c r="ID3" s="1327"/>
      <c r="IE3" s="1327"/>
      <c r="IF3" s="1327"/>
      <c r="IG3" s="1328"/>
      <c r="II3" s="1326"/>
      <c r="IJ3" s="1327"/>
      <c r="IK3" s="1327"/>
      <c r="IL3" s="1327"/>
      <c r="IM3" s="1327"/>
      <c r="IN3" s="1327"/>
      <c r="IO3" s="1327"/>
      <c r="IP3" s="1327"/>
      <c r="IQ3" s="1327"/>
      <c r="IR3" s="1327"/>
      <c r="IS3" s="1327"/>
      <c r="IT3" s="1328"/>
      <c r="IV3" s="1326"/>
      <c r="IW3" s="1327"/>
      <c r="IX3" s="1327"/>
      <c r="IY3" s="1327"/>
      <c r="IZ3" s="1327"/>
      <c r="JA3" s="1327"/>
      <c r="JB3" s="1327"/>
      <c r="JC3" s="1327"/>
      <c r="JD3" s="1327"/>
      <c r="JE3" s="1327"/>
      <c r="JF3" s="1327"/>
      <c r="JG3" s="1328"/>
      <c r="JI3" s="1326"/>
      <c r="JJ3" s="1327"/>
      <c r="JK3" s="1327"/>
      <c r="JL3" s="1327"/>
      <c r="JM3" s="1327"/>
      <c r="JN3" s="1327"/>
      <c r="JO3" s="1327"/>
      <c r="JP3" s="1327"/>
      <c r="JQ3" s="1327"/>
      <c r="JR3" s="1327"/>
      <c r="JS3" s="1327"/>
      <c r="JT3" s="1328"/>
      <c r="JV3" s="1326"/>
      <c r="JW3" s="1327"/>
      <c r="JX3" s="1327"/>
      <c r="JY3" s="1327"/>
      <c r="JZ3" s="1327"/>
      <c r="KA3" s="1327"/>
      <c r="KB3" s="1327"/>
      <c r="KC3" s="1327"/>
      <c r="KD3" s="1327"/>
      <c r="KE3" s="1327"/>
      <c r="KF3" s="1327"/>
      <c r="KG3" s="1328"/>
      <c r="KI3" s="1326"/>
      <c r="KJ3" s="1327"/>
      <c r="KK3" s="1327"/>
      <c r="KL3" s="1327"/>
      <c r="KM3" s="1327"/>
      <c r="KN3" s="1327"/>
      <c r="KO3" s="1327"/>
      <c r="KP3" s="1327"/>
      <c r="KQ3" s="1327"/>
      <c r="KR3" s="1327"/>
      <c r="KS3" s="1327"/>
      <c r="KT3" s="1328"/>
      <c r="KV3" s="1326"/>
      <c r="KW3" s="1327"/>
      <c r="KX3" s="1327"/>
      <c r="KY3" s="1327"/>
      <c r="KZ3" s="1327"/>
      <c r="LA3" s="1327"/>
      <c r="LB3" s="1327"/>
      <c r="LC3" s="1327"/>
      <c r="LD3" s="1327"/>
      <c r="LE3" s="1327"/>
      <c r="LF3" s="1327"/>
      <c r="LG3" s="1328"/>
      <c r="LI3" s="1326"/>
      <c r="LJ3" s="1327"/>
      <c r="LK3" s="1327"/>
      <c r="LL3" s="1327"/>
      <c r="LM3" s="1327"/>
      <c r="LN3" s="1327"/>
      <c r="LO3" s="1327"/>
      <c r="LP3" s="1327"/>
      <c r="LQ3" s="1327"/>
      <c r="LR3" s="1327"/>
      <c r="LS3" s="1327"/>
      <c r="LT3" s="1328"/>
      <c r="LV3" s="1326"/>
      <c r="LW3" s="1327"/>
      <c r="LX3" s="1327"/>
      <c r="LY3" s="1327"/>
      <c r="LZ3" s="1327"/>
      <c r="MA3" s="1327"/>
      <c r="MB3" s="1327"/>
      <c r="MC3" s="1327"/>
      <c r="MD3" s="1327"/>
      <c r="ME3" s="1327"/>
      <c r="MF3" s="1327"/>
      <c r="MG3" s="1328"/>
    </row>
    <row r="4" spans="1:345" ht="40.5" customHeight="1" thickTop="1">
      <c r="A4" s="232"/>
      <c r="B4" s="256"/>
      <c r="C4" s="257"/>
      <c r="D4" s="257"/>
      <c r="E4" s="258"/>
      <c r="F4" s="1350" t="str">
        <f>Language!$E$206</f>
        <v>Resultaten</v>
      </c>
      <c r="G4" s="1351"/>
      <c r="I4" s="265"/>
      <c r="J4" s="257"/>
      <c r="K4" s="257"/>
      <c r="L4" s="258"/>
      <c r="M4" s="1336" t="str">
        <f>Language!$E$209</f>
        <v>Result.</v>
      </c>
      <c r="N4" s="1336"/>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36" t="str">
        <f>Language!$E$209</f>
        <v>Result.</v>
      </c>
      <c r="AA4" s="1336"/>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36" t="str">
        <f>Language!$E$209</f>
        <v>Result.</v>
      </c>
      <c r="AN4" s="1336"/>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36" t="str">
        <f>Language!$E$209</f>
        <v>Result.</v>
      </c>
      <c r="BA4" s="1336"/>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36" t="str">
        <f>Language!$E$209</f>
        <v>Result.</v>
      </c>
      <c r="BN4" s="1336"/>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36" t="str">
        <f>Language!$E$209</f>
        <v>Result.</v>
      </c>
      <c r="CA4" s="1336"/>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36" t="str">
        <f>Language!$E$209</f>
        <v>Result.</v>
      </c>
      <c r="CN4" s="1336"/>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36" t="str">
        <f>Language!$E$209</f>
        <v>Result.</v>
      </c>
      <c r="DA4" s="1336"/>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36" t="str">
        <f>Language!$E$209</f>
        <v>Result.</v>
      </c>
      <c r="DN4" s="1336"/>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36" t="str">
        <f>Language!$E$209</f>
        <v>Result.</v>
      </c>
      <c r="EA4" s="1336"/>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36" t="str">
        <f>Language!$E$209</f>
        <v>Result.</v>
      </c>
      <c r="EN4" s="1336"/>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36" t="str">
        <f>Language!$E$209</f>
        <v>Result.</v>
      </c>
      <c r="FA4" s="1336"/>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36" t="str">
        <f>Language!$E$209</f>
        <v>Result.</v>
      </c>
      <c r="FN4" s="1336"/>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36" t="str">
        <f>Language!$E$209</f>
        <v>Result.</v>
      </c>
      <c r="GA4" s="1336"/>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36" t="str">
        <f>Language!$E$209</f>
        <v>Result.</v>
      </c>
      <c r="GN4" s="1336"/>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36" t="str">
        <f>Language!$E$209</f>
        <v>Result.</v>
      </c>
      <c r="HA4" s="1336"/>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36" t="str">
        <f>Language!$E$209</f>
        <v>Result.</v>
      </c>
      <c r="HN4" s="1336"/>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36" t="str">
        <f>Language!$E$209</f>
        <v>Result.</v>
      </c>
      <c r="IA4" s="1336"/>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36" t="str">
        <f>Language!$E$209</f>
        <v>Result.</v>
      </c>
      <c r="IN4" s="1336"/>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36" t="str">
        <f>Language!$E$209</f>
        <v>Result.</v>
      </c>
      <c r="JA4" s="1336"/>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36" t="str">
        <f>Language!$E$209</f>
        <v>Result.</v>
      </c>
      <c r="JN4" s="1336"/>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36" t="str">
        <f>Language!$E$209</f>
        <v>Result.</v>
      </c>
      <c r="KA4" s="1336"/>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36" t="str">
        <f>Language!$E$209</f>
        <v>Result.</v>
      </c>
      <c r="KN4" s="1336"/>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36" t="str">
        <f>Language!$E$209</f>
        <v>Result.</v>
      </c>
      <c r="LA4" s="1336"/>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36" t="str">
        <f>Language!$E$209</f>
        <v>Result.</v>
      </c>
      <c r="LN4" s="1336"/>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36" t="str">
        <f>Language!$E$209</f>
        <v>Result.</v>
      </c>
      <c r="MA4" s="1336"/>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33" si="0">$B5</f>
        <v>Groep A</v>
      </c>
      <c r="J5" s="249"/>
      <c r="K5" s="249"/>
      <c r="L5" s="250"/>
      <c r="M5" s="279"/>
      <c r="N5" s="280"/>
      <c r="O5" s="251"/>
      <c r="P5" s="263"/>
      <c r="Q5" s="250"/>
      <c r="R5" s="250"/>
      <c r="S5" s="250"/>
      <c r="T5" s="264"/>
      <c r="V5" s="247" t="str">
        <f t="shared" ref="V5:V68" si="1">$B5</f>
        <v>Groep A</v>
      </c>
      <c r="W5" s="249"/>
      <c r="X5" s="249"/>
      <c r="Y5" s="250"/>
      <c r="Z5" s="279"/>
      <c r="AA5" s="280"/>
      <c r="AB5" s="251"/>
      <c r="AC5" s="263"/>
      <c r="AD5" s="250"/>
      <c r="AE5" s="250"/>
      <c r="AF5" s="250"/>
      <c r="AG5" s="264"/>
      <c r="AI5" s="247" t="str">
        <f t="shared" ref="AI5:AI68" si="2">$B5</f>
        <v>Groep A</v>
      </c>
      <c r="AJ5" s="249"/>
      <c r="AK5" s="249"/>
      <c r="AL5" s="250"/>
      <c r="AM5" s="279"/>
      <c r="AN5" s="280"/>
      <c r="AO5" s="251"/>
      <c r="AP5" s="263"/>
      <c r="AQ5" s="250"/>
      <c r="AR5" s="250"/>
      <c r="AS5" s="250"/>
      <c r="AT5" s="264"/>
      <c r="AV5" s="247" t="str">
        <f t="shared" ref="AV5:AV68" si="3">$B5</f>
        <v>Groep A</v>
      </c>
      <c r="AW5" s="249"/>
      <c r="AX5" s="249"/>
      <c r="AY5" s="250"/>
      <c r="AZ5" s="279"/>
      <c r="BA5" s="280"/>
      <c r="BB5" s="251"/>
      <c r="BC5" s="263"/>
      <c r="BD5" s="250"/>
      <c r="BE5" s="250"/>
      <c r="BF5" s="250"/>
      <c r="BG5" s="264"/>
      <c r="BI5" s="247" t="str">
        <f t="shared" ref="BI5:BI68" si="4">$B5</f>
        <v>Groep A</v>
      </c>
      <c r="BJ5" s="249"/>
      <c r="BK5" s="249"/>
      <c r="BL5" s="250"/>
      <c r="BM5" s="279"/>
      <c r="BN5" s="280"/>
      <c r="BO5" s="251"/>
      <c r="BP5" s="263"/>
      <c r="BQ5" s="250"/>
      <c r="BR5" s="250"/>
      <c r="BS5" s="250"/>
      <c r="BT5" s="264"/>
      <c r="BV5" s="247" t="str">
        <f t="shared" ref="BV5:BV68" si="5">$B5</f>
        <v>Groep A</v>
      </c>
      <c r="BW5" s="249"/>
      <c r="BX5" s="249"/>
      <c r="BY5" s="250"/>
      <c r="BZ5" s="279"/>
      <c r="CA5" s="280"/>
      <c r="CB5" s="251"/>
      <c r="CC5" s="263"/>
      <c r="CD5" s="250"/>
      <c r="CE5" s="250"/>
      <c r="CF5" s="250"/>
      <c r="CG5" s="264"/>
      <c r="CI5" s="247" t="str">
        <f t="shared" ref="CI5:CI68" si="6">$B5</f>
        <v>Groep A</v>
      </c>
      <c r="CJ5" s="249"/>
      <c r="CK5" s="249"/>
      <c r="CL5" s="250"/>
      <c r="CM5" s="279"/>
      <c r="CN5" s="280"/>
      <c r="CO5" s="251"/>
      <c r="CP5" s="263"/>
      <c r="CQ5" s="250"/>
      <c r="CR5" s="250"/>
      <c r="CS5" s="250"/>
      <c r="CT5" s="264"/>
      <c r="CV5" s="247" t="str">
        <f t="shared" ref="CV5:CV68" si="7">$B5</f>
        <v>Groep A</v>
      </c>
      <c r="CW5" s="249"/>
      <c r="CX5" s="249"/>
      <c r="CY5" s="250"/>
      <c r="CZ5" s="279"/>
      <c r="DA5" s="280"/>
      <c r="DB5" s="251"/>
      <c r="DC5" s="263"/>
      <c r="DD5" s="250"/>
      <c r="DE5" s="250"/>
      <c r="DF5" s="250"/>
      <c r="DG5" s="264"/>
      <c r="DI5" s="247" t="str">
        <f t="shared" ref="DI5:DI68" si="8">$B5</f>
        <v>Groep A</v>
      </c>
      <c r="DJ5" s="249"/>
      <c r="DK5" s="249"/>
      <c r="DL5" s="250"/>
      <c r="DM5" s="279"/>
      <c r="DN5" s="280"/>
      <c r="DO5" s="251"/>
      <c r="DP5" s="263"/>
      <c r="DQ5" s="250"/>
      <c r="DR5" s="250"/>
      <c r="DS5" s="250"/>
      <c r="DT5" s="264"/>
      <c r="DV5" s="247" t="str">
        <f t="shared" ref="DV5:DV68" si="9">$B5</f>
        <v>Groep A</v>
      </c>
      <c r="DW5" s="249"/>
      <c r="DX5" s="249"/>
      <c r="DY5" s="250"/>
      <c r="DZ5" s="279"/>
      <c r="EA5" s="280"/>
      <c r="EB5" s="251"/>
      <c r="EC5" s="263"/>
      <c r="ED5" s="250"/>
      <c r="EE5" s="250"/>
      <c r="EF5" s="250"/>
      <c r="EG5" s="264"/>
      <c r="EI5" s="247" t="str">
        <f t="shared" ref="EI5:EI68" si="10">$B5</f>
        <v>Groep A</v>
      </c>
      <c r="EJ5" s="249"/>
      <c r="EK5" s="249"/>
      <c r="EL5" s="250"/>
      <c r="EM5" s="279"/>
      <c r="EN5" s="280"/>
      <c r="EO5" s="251"/>
      <c r="EP5" s="263"/>
      <c r="EQ5" s="250"/>
      <c r="ER5" s="250"/>
      <c r="ES5" s="250"/>
      <c r="ET5" s="264"/>
      <c r="EV5" s="247" t="str">
        <f t="shared" ref="EV5:EV68" si="11">$B5</f>
        <v>Groep A</v>
      </c>
      <c r="EW5" s="249"/>
      <c r="EX5" s="249"/>
      <c r="EY5" s="250"/>
      <c r="EZ5" s="279"/>
      <c r="FA5" s="280"/>
      <c r="FB5" s="251"/>
      <c r="FC5" s="263"/>
      <c r="FD5" s="250"/>
      <c r="FE5" s="250"/>
      <c r="FF5" s="250"/>
      <c r="FG5" s="264"/>
      <c r="FI5" s="247" t="str">
        <f t="shared" ref="FI5:FI68" si="12">$B5</f>
        <v>Groep A</v>
      </c>
      <c r="FJ5" s="249"/>
      <c r="FK5" s="249"/>
      <c r="FL5" s="250"/>
      <c r="FM5" s="279"/>
      <c r="FN5" s="280"/>
      <c r="FO5" s="251"/>
      <c r="FP5" s="263"/>
      <c r="FQ5" s="250"/>
      <c r="FR5" s="250"/>
      <c r="FS5" s="250"/>
      <c r="FT5" s="264"/>
      <c r="FV5" s="247" t="str">
        <f t="shared" ref="FV5:FV68" si="13">$B5</f>
        <v>Groep A</v>
      </c>
      <c r="FW5" s="249"/>
      <c r="FX5" s="249"/>
      <c r="FY5" s="250"/>
      <c r="FZ5" s="279"/>
      <c r="GA5" s="280"/>
      <c r="GB5" s="251"/>
      <c r="GC5" s="263"/>
      <c r="GD5" s="250"/>
      <c r="GE5" s="250"/>
      <c r="GF5" s="250"/>
      <c r="GG5" s="264"/>
      <c r="GI5" s="247" t="str">
        <f t="shared" ref="GI5:GI68" si="14">$B5</f>
        <v>Groep A</v>
      </c>
      <c r="GJ5" s="249"/>
      <c r="GK5" s="249"/>
      <c r="GL5" s="250"/>
      <c r="GM5" s="279"/>
      <c r="GN5" s="280"/>
      <c r="GO5" s="251"/>
      <c r="GP5" s="263"/>
      <c r="GQ5" s="250"/>
      <c r="GR5" s="250"/>
      <c r="GS5" s="250"/>
      <c r="GT5" s="264"/>
      <c r="GV5" s="247" t="str">
        <f t="shared" ref="GV5:GV68" si="15">$B5</f>
        <v>Groep A</v>
      </c>
      <c r="GW5" s="249"/>
      <c r="GX5" s="249"/>
      <c r="GY5" s="250"/>
      <c r="GZ5" s="279"/>
      <c r="HA5" s="280"/>
      <c r="HB5" s="251"/>
      <c r="HC5" s="263"/>
      <c r="HD5" s="250"/>
      <c r="HE5" s="250"/>
      <c r="HF5" s="250"/>
      <c r="HG5" s="264"/>
      <c r="HI5" s="247" t="str">
        <f t="shared" ref="HI5:HI68" si="16">$B5</f>
        <v>Groep A</v>
      </c>
      <c r="HJ5" s="249"/>
      <c r="HK5" s="249"/>
      <c r="HL5" s="250"/>
      <c r="HM5" s="279"/>
      <c r="HN5" s="280"/>
      <c r="HO5" s="251"/>
      <c r="HP5" s="263"/>
      <c r="HQ5" s="250"/>
      <c r="HR5" s="250"/>
      <c r="HS5" s="250"/>
      <c r="HT5" s="264"/>
      <c r="HV5" s="247" t="str">
        <f t="shared" ref="HV5:HV68" si="17">$B5</f>
        <v>Groep A</v>
      </c>
      <c r="HW5" s="249"/>
      <c r="HX5" s="249"/>
      <c r="HY5" s="250"/>
      <c r="HZ5" s="279"/>
      <c r="IA5" s="280"/>
      <c r="IB5" s="251"/>
      <c r="IC5" s="263"/>
      <c r="ID5" s="250"/>
      <c r="IE5" s="250"/>
      <c r="IF5" s="250"/>
      <c r="IG5" s="264"/>
      <c r="II5" s="247" t="str">
        <f t="shared" ref="II5:II68" si="18">$B5</f>
        <v>Groep A</v>
      </c>
      <c r="IJ5" s="249"/>
      <c r="IK5" s="249"/>
      <c r="IL5" s="250"/>
      <c r="IM5" s="279"/>
      <c r="IN5" s="280"/>
      <c r="IO5" s="251"/>
      <c r="IP5" s="263"/>
      <c r="IQ5" s="250"/>
      <c r="IR5" s="250"/>
      <c r="IS5" s="250"/>
      <c r="IT5" s="264"/>
      <c r="IV5" s="247" t="str">
        <f t="shared" ref="IV5:IV68" si="19">$B5</f>
        <v>Groep A</v>
      </c>
      <c r="IW5" s="249"/>
      <c r="IX5" s="249"/>
      <c r="IY5" s="250"/>
      <c r="IZ5" s="279"/>
      <c r="JA5" s="280"/>
      <c r="JB5" s="251"/>
      <c r="JC5" s="263"/>
      <c r="JD5" s="250"/>
      <c r="JE5" s="250"/>
      <c r="JF5" s="250"/>
      <c r="JG5" s="264"/>
      <c r="JI5" s="247" t="str">
        <f t="shared" ref="JI5:JI68" si="20">$B5</f>
        <v>Groep A</v>
      </c>
      <c r="JJ5" s="249"/>
      <c r="JK5" s="249"/>
      <c r="JL5" s="250"/>
      <c r="JM5" s="279"/>
      <c r="JN5" s="280"/>
      <c r="JO5" s="251"/>
      <c r="JP5" s="263"/>
      <c r="JQ5" s="250"/>
      <c r="JR5" s="250"/>
      <c r="JS5" s="250"/>
      <c r="JT5" s="264"/>
      <c r="JV5" s="247" t="str">
        <f t="shared" ref="JV5:JV68" si="21">$B5</f>
        <v>Groep A</v>
      </c>
      <c r="JW5" s="249"/>
      <c r="JX5" s="249"/>
      <c r="JY5" s="250"/>
      <c r="JZ5" s="279"/>
      <c r="KA5" s="280"/>
      <c r="KB5" s="251"/>
      <c r="KC5" s="263"/>
      <c r="KD5" s="250"/>
      <c r="KE5" s="250"/>
      <c r="KF5" s="250"/>
      <c r="KG5" s="264"/>
      <c r="KI5" s="247" t="str">
        <f t="shared" ref="KI5:KI68" si="22">$B5</f>
        <v>Groep A</v>
      </c>
      <c r="KJ5" s="249"/>
      <c r="KK5" s="249"/>
      <c r="KL5" s="250"/>
      <c r="KM5" s="279"/>
      <c r="KN5" s="280"/>
      <c r="KO5" s="251"/>
      <c r="KP5" s="263"/>
      <c r="KQ5" s="250"/>
      <c r="KR5" s="250"/>
      <c r="KS5" s="250"/>
      <c r="KT5" s="264"/>
      <c r="KV5" s="247" t="str">
        <f t="shared" ref="KV5:KV68" si="23">$B5</f>
        <v>Groep A</v>
      </c>
      <c r="KW5" s="249"/>
      <c r="KX5" s="249"/>
      <c r="KY5" s="250"/>
      <c r="KZ5" s="279"/>
      <c r="LA5" s="280"/>
      <c r="LB5" s="251"/>
      <c r="LC5" s="263"/>
      <c r="LD5" s="250"/>
      <c r="LE5" s="250"/>
      <c r="LF5" s="250"/>
      <c r="LG5" s="264"/>
      <c r="LI5" s="247" t="str">
        <f t="shared" ref="LI5:LI68" si="24">$B5</f>
        <v>Groep A</v>
      </c>
      <c r="LJ5" s="249"/>
      <c r="LK5" s="249"/>
      <c r="LL5" s="250"/>
      <c r="LM5" s="279"/>
      <c r="LN5" s="280"/>
      <c r="LO5" s="251"/>
      <c r="LP5" s="263"/>
      <c r="LQ5" s="250"/>
      <c r="LR5" s="250"/>
      <c r="LS5" s="250"/>
      <c r="LT5" s="264"/>
      <c r="LV5" s="247" t="str">
        <f t="shared" ref="LV5:LV68" si="25">$B5</f>
        <v>Groep A</v>
      </c>
      <c r="LW5" s="249"/>
      <c r="LX5" s="249"/>
      <c r="LY5" s="250"/>
      <c r="LZ5" s="279"/>
      <c r="MA5" s="280"/>
      <c r="MB5" s="251"/>
      <c r="MC5" s="263"/>
      <c r="MD5" s="250"/>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ref="I34:I88" si="468">$B34</f>
        <v>10</v>
      </c>
      <c r="J34" s="239" t="str">
        <f t="shared" ref="J34:J39" si="469">$C34</f>
        <v>Duitsland</v>
      </c>
      <c r="K34" s="240">
        <f t="shared" si="26"/>
        <v>82</v>
      </c>
      <c r="L34" s="239" t="str">
        <f t="shared" ref="L34:L39" si="470">$E34</f>
        <v>Curacao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Duitsland</v>
      </c>
      <c r="X34" s="240">
        <f t="shared" si="29"/>
        <v>82</v>
      </c>
      <c r="Y34" s="239" t="str">
        <f t="shared" ref="Y34:Y39" si="474">$E34</f>
        <v>Curacao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Duitsland</v>
      </c>
      <c r="AK34" s="240">
        <f t="shared" si="32"/>
        <v>82</v>
      </c>
      <c r="AL34" s="239" t="str">
        <f t="shared" ref="AL34:AL39" si="478">$E34</f>
        <v>Curacao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Duitsland</v>
      </c>
      <c r="AX34" s="240">
        <f t="shared" si="35"/>
        <v>82</v>
      </c>
      <c r="AY34" s="239" t="str">
        <f t="shared" ref="AY34:AY39" si="482">$E34</f>
        <v>Curacao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Duitsland</v>
      </c>
      <c r="BK34" s="240">
        <f t="shared" si="38"/>
        <v>82</v>
      </c>
      <c r="BL34" s="239" t="str">
        <f t="shared" ref="BL34:BL39" si="486">$E34</f>
        <v>Curacao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Duitsland</v>
      </c>
      <c r="BX34" s="240">
        <f t="shared" si="41"/>
        <v>82</v>
      </c>
      <c r="BY34" s="239" t="str">
        <f t="shared" ref="BY34:BY39" si="490">$E34</f>
        <v>Curacao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Duitsland</v>
      </c>
      <c r="CK34" s="240">
        <f t="shared" si="44"/>
        <v>82</v>
      </c>
      <c r="CL34" s="239" t="str">
        <f t="shared" ref="CL34:CL39" si="494">$E34</f>
        <v>Curacao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Duitsland</v>
      </c>
      <c r="CX34" s="240">
        <f t="shared" si="47"/>
        <v>82</v>
      </c>
      <c r="CY34" s="239" t="str">
        <f t="shared" ref="CY34:CY39" si="498">$E34</f>
        <v>Curacao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Duitsland</v>
      </c>
      <c r="DK34" s="240">
        <f t="shared" si="50"/>
        <v>82</v>
      </c>
      <c r="DL34" s="239" t="str">
        <f t="shared" ref="DL34:DL39" si="502">$E34</f>
        <v>Curacao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Duitsland</v>
      </c>
      <c r="DX34" s="240">
        <f t="shared" si="53"/>
        <v>82</v>
      </c>
      <c r="DY34" s="239" t="str">
        <f t="shared" ref="DY34:DY39" si="506">$E34</f>
        <v>Curacao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Duitsland</v>
      </c>
      <c r="EK34" s="240">
        <f t="shared" si="56"/>
        <v>82</v>
      </c>
      <c r="EL34" s="239" t="str">
        <f t="shared" ref="EL34:EL39" si="510">$E34</f>
        <v>Curacao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Duitsland</v>
      </c>
      <c r="EX34" s="240">
        <f t="shared" si="59"/>
        <v>82</v>
      </c>
      <c r="EY34" s="239" t="str">
        <f t="shared" ref="EY34:EY39" si="514">$E34</f>
        <v>Curacao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Duitsland</v>
      </c>
      <c r="FK34" s="240">
        <f t="shared" si="62"/>
        <v>82</v>
      </c>
      <c r="FL34" s="239" t="str">
        <f t="shared" ref="FL34:FL39" si="518">$E34</f>
        <v>Curacao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Duitsland</v>
      </c>
      <c r="FX34" s="240">
        <f t="shared" si="65"/>
        <v>82</v>
      </c>
      <c r="FY34" s="239" t="str">
        <f t="shared" ref="FY34:FY39" si="522">$E34</f>
        <v>Curacao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Duitsland</v>
      </c>
      <c r="GK34" s="240">
        <f t="shared" si="68"/>
        <v>82</v>
      </c>
      <c r="GL34" s="239" t="str">
        <f t="shared" ref="GL34:GL39" si="526">$E34</f>
        <v>Curacao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Duitsland</v>
      </c>
      <c r="GX34" s="240">
        <f t="shared" si="71"/>
        <v>82</v>
      </c>
      <c r="GY34" s="239" t="str">
        <f t="shared" ref="GY34:GY39" si="530">$E34</f>
        <v>Curacao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Duitsland</v>
      </c>
      <c r="HK34" s="240">
        <f t="shared" si="74"/>
        <v>82</v>
      </c>
      <c r="HL34" s="239" t="str">
        <f t="shared" ref="HL34:HL39" si="534">$E34</f>
        <v>Curacao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Duitsland</v>
      </c>
      <c r="HX34" s="240">
        <f t="shared" si="77"/>
        <v>82</v>
      </c>
      <c r="HY34" s="239" t="str">
        <f t="shared" ref="HY34:HY39" si="538">$E34</f>
        <v>Curacao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Duitsland</v>
      </c>
      <c r="IK34" s="240">
        <f t="shared" si="80"/>
        <v>82</v>
      </c>
      <c r="IL34" s="239" t="str">
        <f t="shared" ref="IL34:IL39" si="542">$E34</f>
        <v>Curacao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Duitsland</v>
      </c>
      <c r="IX34" s="240">
        <f t="shared" si="83"/>
        <v>82</v>
      </c>
      <c r="IY34" s="239" t="str">
        <f t="shared" ref="IY34:IY39" si="546">$E34</f>
        <v>Curacao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Duitsland</v>
      </c>
      <c r="JK34" s="240">
        <f t="shared" si="86"/>
        <v>82</v>
      </c>
      <c r="JL34" s="239" t="str">
        <f t="shared" ref="JL34:JL39" si="550">$E34</f>
        <v>Curacao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Duitsland</v>
      </c>
      <c r="JX34" s="240">
        <f t="shared" si="89"/>
        <v>82</v>
      </c>
      <c r="JY34" s="239" t="str">
        <f t="shared" ref="JY34:JY39" si="554">$E34</f>
        <v>Curacao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Duitsland</v>
      </c>
      <c r="KK34" s="240">
        <f t="shared" si="92"/>
        <v>82</v>
      </c>
      <c r="KL34" s="239" t="str">
        <f t="shared" ref="KL34:KL39" si="558">$E34</f>
        <v>Curacao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Duitsland</v>
      </c>
      <c r="KX34" s="240">
        <f t="shared" si="95"/>
        <v>82</v>
      </c>
      <c r="KY34" s="239" t="str">
        <f t="shared" ref="KY34:KY39" si="562">$E34</f>
        <v>Curacao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Duitsland</v>
      </c>
      <c r="LK34" s="240">
        <f t="shared" si="98"/>
        <v>82</v>
      </c>
      <c r="LL34" s="239" t="str">
        <f t="shared" ref="LL34:LL39" si="566">$E34</f>
        <v>Curacao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Duitsland</v>
      </c>
      <c r="LX34" s="240">
        <f t="shared" si="101"/>
        <v>82</v>
      </c>
      <c r="LY34" s="239" t="str">
        <f t="shared" ref="LY34:LY39" si="570">$E34</f>
        <v>Curacao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468"/>
        <v>34</v>
      </c>
      <c r="J35" s="239" t="str">
        <f t="shared" si="469"/>
        <v>Ivoorkust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Ivoorkust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Ivoorkust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Ivoorkust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Ivoorkust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Ivoorkust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Ivoorkust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Ivoorkust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Ivoorkust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Ivoorkust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Ivoorkust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Ivoorkust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Ivoorkust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Ivoorkust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Ivoorkust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Ivoorkust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Ivoorkust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Ivoorkust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Ivoorkust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Ivoorkust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Ivoorkust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Ivoorkust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Ivoorkust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Ivoorkust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Ivoorkust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Ivoorkust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468"/>
        <v>10</v>
      </c>
      <c r="J36" s="239" t="str">
        <f t="shared" si="469"/>
        <v>Duitsland</v>
      </c>
      <c r="K36" s="240">
        <f t="shared" si="26"/>
        <v>34</v>
      </c>
      <c r="L36" s="239" t="str">
        <f t="shared" si="470"/>
        <v>Ivoorkust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Duitsland</v>
      </c>
      <c r="X36" s="240">
        <f t="shared" si="29"/>
        <v>34</v>
      </c>
      <c r="Y36" s="239" t="str">
        <f t="shared" si="474"/>
        <v>Ivoorkust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Duitsland</v>
      </c>
      <c r="AK36" s="240">
        <f t="shared" si="32"/>
        <v>34</v>
      </c>
      <c r="AL36" s="239" t="str">
        <f t="shared" si="478"/>
        <v>Ivoorkust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Duitsland</v>
      </c>
      <c r="AX36" s="240">
        <f t="shared" si="35"/>
        <v>34</v>
      </c>
      <c r="AY36" s="239" t="str">
        <f t="shared" si="482"/>
        <v>Ivoorkust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Duitsland</v>
      </c>
      <c r="BK36" s="240">
        <f t="shared" si="38"/>
        <v>34</v>
      </c>
      <c r="BL36" s="239" t="str">
        <f t="shared" si="486"/>
        <v>Ivoorkust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Duitsland</v>
      </c>
      <c r="BX36" s="240">
        <f t="shared" si="41"/>
        <v>34</v>
      </c>
      <c r="BY36" s="239" t="str">
        <f t="shared" si="490"/>
        <v>Ivoorkust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Duitsland</v>
      </c>
      <c r="CK36" s="240">
        <f t="shared" si="44"/>
        <v>34</v>
      </c>
      <c r="CL36" s="239" t="str">
        <f t="shared" si="494"/>
        <v>Ivoorkust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Duitsland</v>
      </c>
      <c r="CX36" s="240">
        <f t="shared" si="47"/>
        <v>34</v>
      </c>
      <c r="CY36" s="239" t="str">
        <f t="shared" si="498"/>
        <v>Ivoorkust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Duitsland</v>
      </c>
      <c r="DK36" s="240">
        <f t="shared" si="50"/>
        <v>34</v>
      </c>
      <c r="DL36" s="239" t="str">
        <f t="shared" si="502"/>
        <v>Ivoorkust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Duitsland</v>
      </c>
      <c r="DX36" s="240">
        <f t="shared" si="53"/>
        <v>34</v>
      </c>
      <c r="DY36" s="239" t="str">
        <f t="shared" si="506"/>
        <v>Ivoorkust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Duitsland</v>
      </c>
      <c r="EK36" s="240">
        <f t="shared" si="56"/>
        <v>34</v>
      </c>
      <c r="EL36" s="239" t="str">
        <f t="shared" si="510"/>
        <v>Ivoorkust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Duitsland</v>
      </c>
      <c r="EX36" s="240">
        <f t="shared" si="59"/>
        <v>34</v>
      </c>
      <c r="EY36" s="239" t="str">
        <f t="shared" si="514"/>
        <v>Ivoorkust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Duitsland</v>
      </c>
      <c r="FK36" s="240">
        <f t="shared" si="62"/>
        <v>34</v>
      </c>
      <c r="FL36" s="239" t="str">
        <f t="shared" si="518"/>
        <v>Ivoorkust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Duitsland</v>
      </c>
      <c r="FX36" s="240">
        <f t="shared" si="65"/>
        <v>34</v>
      </c>
      <c r="FY36" s="239" t="str">
        <f t="shared" si="522"/>
        <v>Ivoorkust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Duitsland</v>
      </c>
      <c r="GK36" s="240">
        <f t="shared" si="68"/>
        <v>34</v>
      </c>
      <c r="GL36" s="239" t="str">
        <f t="shared" si="526"/>
        <v>Ivoorkust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Duitsland</v>
      </c>
      <c r="GX36" s="240">
        <f t="shared" si="71"/>
        <v>34</v>
      </c>
      <c r="GY36" s="239" t="str">
        <f t="shared" si="530"/>
        <v>Ivoorkust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Duitsland</v>
      </c>
      <c r="HK36" s="240">
        <f t="shared" si="74"/>
        <v>34</v>
      </c>
      <c r="HL36" s="239" t="str">
        <f t="shared" si="534"/>
        <v>Ivoorkust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Duitsland</v>
      </c>
      <c r="HX36" s="240">
        <f t="shared" si="77"/>
        <v>34</v>
      </c>
      <c r="HY36" s="239" t="str">
        <f t="shared" si="538"/>
        <v>Ivoorkust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Duitsland</v>
      </c>
      <c r="IK36" s="240">
        <f t="shared" si="80"/>
        <v>34</v>
      </c>
      <c r="IL36" s="239" t="str">
        <f t="shared" si="542"/>
        <v>Ivoorkust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Duitsland</v>
      </c>
      <c r="IX36" s="240">
        <f t="shared" si="83"/>
        <v>34</v>
      </c>
      <c r="IY36" s="239" t="str">
        <f t="shared" si="546"/>
        <v>Ivoorkust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Duitsland</v>
      </c>
      <c r="JK36" s="240">
        <f t="shared" si="86"/>
        <v>34</v>
      </c>
      <c r="JL36" s="239" t="str">
        <f t="shared" si="550"/>
        <v>Ivoorkust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Duitsland</v>
      </c>
      <c r="JX36" s="240">
        <f t="shared" si="89"/>
        <v>34</v>
      </c>
      <c r="JY36" s="239" t="str">
        <f t="shared" si="554"/>
        <v>Ivoorkust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Duitsland</v>
      </c>
      <c r="KK36" s="240">
        <f t="shared" si="92"/>
        <v>34</v>
      </c>
      <c r="KL36" s="239" t="str">
        <f t="shared" si="558"/>
        <v>Ivoorkust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Duitsland</v>
      </c>
      <c r="KX36" s="240">
        <f t="shared" si="95"/>
        <v>34</v>
      </c>
      <c r="KY36" s="239" t="str">
        <f t="shared" si="562"/>
        <v>Ivoorkust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Duitsland</v>
      </c>
      <c r="LK36" s="240">
        <f t="shared" si="98"/>
        <v>34</v>
      </c>
      <c r="LL36" s="239" t="str">
        <f t="shared" si="566"/>
        <v>Ivoorkust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Duitsland</v>
      </c>
      <c r="LX36" s="240">
        <f t="shared" si="101"/>
        <v>34</v>
      </c>
      <c r="LY36" s="239" t="str">
        <f t="shared" si="570"/>
        <v>Ivoorkust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468"/>
        <v>23</v>
      </c>
      <c r="J37" s="239" t="str">
        <f t="shared" si="469"/>
        <v>Ecuador</v>
      </c>
      <c r="K37" s="240">
        <f t="shared" si="26"/>
        <v>82</v>
      </c>
      <c r="L37" s="239" t="str">
        <f t="shared" si="470"/>
        <v>Curacao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Curacao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Curacao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Curacao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Curacao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Curacao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Curacao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Curacao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Curacao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Curacao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Curacao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Curacao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Curacao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Curacao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Curacao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Curacao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Curacao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Curacao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Curacao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Curacao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Curacao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Curacao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Curacao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Curacao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Curacao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Curacao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468"/>
        <v>82</v>
      </c>
      <c r="J38" s="239" t="str">
        <f t="shared" si="469"/>
        <v>Curacao</v>
      </c>
      <c r="K38" s="240">
        <f t="shared" si="26"/>
        <v>34</v>
      </c>
      <c r="L38" s="239" t="str">
        <f t="shared" si="470"/>
        <v>Ivoorkust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Curacao</v>
      </c>
      <c r="X38" s="240">
        <f t="shared" si="29"/>
        <v>34</v>
      </c>
      <c r="Y38" s="239" t="str">
        <f t="shared" si="474"/>
        <v>Ivoorkust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Curacao</v>
      </c>
      <c r="AK38" s="240">
        <f t="shared" si="32"/>
        <v>34</v>
      </c>
      <c r="AL38" s="239" t="str">
        <f t="shared" si="478"/>
        <v>Ivoorkust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Curacao</v>
      </c>
      <c r="AX38" s="240">
        <f t="shared" si="35"/>
        <v>34</v>
      </c>
      <c r="AY38" s="239" t="str">
        <f t="shared" si="482"/>
        <v>Ivoorkust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Curacao</v>
      </c>
      <c r="BK38" s="240">
        <f t="shared" si="38"/>
        <v>34</v>
      </c>
      <c r="BL38" s="239" t="str">
        <f t="shared" si="486"/>
        <v>Ivoorkust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Curacao</v>
      </c>
      <c r="BX38" s="240">
        <f t="shared" si="41"/>
        <v>34</v>
      </c>
      <c r="BY38" s="239" t="str">
        <f t="shared" si="490"/>
        <v>Ivoorkust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Curacao</v>
      </c>
      <c r="CK38" s="240">
        <f t="shared" si="44"/>
        <v>34</v>
      </c>
      <c r="CL38" s="239" t="str">
        <f t="shared" si="494"/>
        <v>Ivoorkust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Curacao</v>
      </c>
      <c r="CX38" s="240">
        <f t="shared" si="47"/>
        <v>34</v>
      </c>
      <c r="CY38" s="239" t="str">
        <f t="shared" si="498"/>
        <v>Ivoorkust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Curacao</v>
      </c>
      <c r="DK38" s="240">
        <f t="shared" si="50"/>
        <v>34</v>
      </c>
      <c r="DL38" s="239" t="str">
        <f t="shared" si="502"/>
        <v>Ivoorkust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Curacao</v>
      </c>
      <c r="DX38" s="240">
        <f t="shared" si="53"/>
        <v>34</v>
      </c>
      <c r="DY38" s="239" t="str">
        <f t="shared" si="506"/>
        <v>Ivoorkust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Curacao</v>
      </c>
      <c r="EK38" s="240">
        <f t="shared" si="56"/>
        <v>34</v>
      </c>
      <c r="EL38" s="239" t="str">
        <f t="shared" si="510"/>
        <v>Ivoorkust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Curacao</v>
      </c>
      <c r="EX38" s="240">
        <f t="shared" si="59"/>
        <v>34</v>
      </c>
      <c r="EY38" s="239" t="str">
        <f t="shared" si="514"/>
        <v>Ivoorkust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Curacao</v>
      </c>
      <c r="FK38" s="240">
        <f t="shared" si="62"/>
        <v>34</v>
      </c>
      <c r="FL38" s="239" t="str">
        <f t="shared" si="518"/>
        <v>Ivoorkust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Curacao</v>
      </c>
      <c r="FX38" s="240">
        <f t="shared" si="65"/>
        <v>34</v>
      </c>
      <c r="FY38" s="239" t="str">
        <f t="shared" si="522"/>
        <v>Ivoorkust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Curacao</v>
      </c>
      <c r="GK38" s="240">
        <f t="shared" si="68"/>
        <v>34</v>
      </c>
      <c r="GL38" s="239" t="str">
        <f t="shared" si="526"/>
        <v>Ivoorkust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Curacao</v>
      </c>
      <c r="GX38" s="240">
        <f t="shared" si="71"/>
        <v>34</v>
      </c>
      <c r="GY38" s="239" t="str">
        <f t="shared" si="530"/>
        <v>Ivoorkust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Curacao</v>
      </c>
      <c r="HK38" s="240">
        <f t="shared" si="74"/>
        <v>34</v>
      </c>
      <c r="HL38" s="239" t="str">
        <f t="shared" si="534"/>
        <v>Ivoorkust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Curacao</v>
      </c>
      <c r="HX38" s="240">
        <f t="shared" si="77"/>
        <v>34</v>
      </c>
      <c r="HY38" s="239" t="str">
        <f t="shared" si="538"/>
        <v>Ivoorkust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Curacao</v>
      </c>
      <c r="IK38" s="240">
        <f t="shared" si="80"/>
        <v>34</v>
      </c>
      <c r="IL38" s="239" t="str">
        <f t="shared" si="542"/>
        <v>Ivoorkust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Curacao</v>
      </c>
      <c r="IX38" s="240">
        <f t="shared" si="83"/>
        <v>34</v>
      </c>
      <c r="IY38" s="239" t="str">
        <f t="shared" si="546"/>
        <v>Ivoorkust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Curacao</v>
      </c>
      <c r="JK38" s="240">
        <f t="shared" si="86"/>
        <v>34</v>
      </c>
      <c r="JL38" s="239" t="str">
        <f t="shared" si="550"/>
        <v>Ivoorkust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Curacao</v>
      </c>
      <c r="JX38" s="240">
        <f t="shared" si="89"/>
        <v>34</v>
      </c>
      <c r="JY38" s="239" t="str">
        <f t="shared" si="554"/>
        <v>Ivoorkust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Curacao</v>
      </c>
      <c r="KK38" s="240">
        <f t="shared" si="92"/>
        <v>34</v>
      </c>
      <c r="KL38" s="239" t="str">
        <f t="shared" si="558"/>
        <v>Ivoorkust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Curacao</v>
      </c>
      <c r="KX38" s="240">
        <f t="shared" si="95"/>
        <v>34</v>
      </c>
      <c r="KY38" s="239" t="str">
        <f t="shared" si="562"/>
        <v>Ivoorkust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Curacao</v>
      </c>
      <c r="LK38" s="240">
        <f t="shared" si="98"/>
        <v>34</v>
      </c>
      <c r="LL38" s="239" t="str">
        <f t="shared" si="566"/>
        <v>Ivoorkust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Curacao</v>
      </c>
      <c r="LX38" s="240">
        <f t="shared" si="101"/>
        <v>34</v>
      </c>
      <c r="LY38" s="239" t="str">
        <f t="shared" si="570"/>
        <v>Ivoorkust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468"/>
        <v>23</v>
      </c>
      <c r="J39" s="239" t="str">
        <f t="shared" si="469"/>
        <v>Ecuador</v>
      </c>
      <c r="K39" s="240">
        <f t="shared" si="26"/>
        <v>10</v>
      </c>
      <c r="L39" s="239" t="str">
        <f t="shared" si="470"/>
        <v>Duitsland</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Duitsland</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Duitsland</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Duitsland</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Duitsland</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Duitsland</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Duitsland</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Duitsland</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Duitsland</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Duitsland</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Duitsland</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Duitsland</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Duitsland</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Duitsland</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Duitsland</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Duitsland</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Duitsland</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Duitsland</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Duitsland</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Duitsland</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Duitsland</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Duitsland</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Duitsland</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Duitsland</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Duitsland</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Duitsland</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468"/>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468"/>
        <v>7</v>
      </c>
      <c r="J41" s="239" t="str">
        <f t="shared" ref="J41:J46" si="573">$C41</f>
        <v>Nederland</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Nederland</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Nederland</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Nederland</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Nederland</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Nederland</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Nederland</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Nederland</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Nederland</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Nederland</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Nederland</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Nederland</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Nederland</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Nederland</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Nederland</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Nederland</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Nederland</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Nederland</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Nederland</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Nederland</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Nederland</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Nederland</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Nederland</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Nederland</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Nederland</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Nederland</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468"/>
        <v>38</v>
      </c>
      <c r="J42" s="239" t="str">
        <f t="shared" si="573"/>
        <v>Zweden</v>
      </c>
      <c r="K42" s="240">
        <f t="shared" si="26"/>
        <v>44</v>
      </c>
      <c r="L42" s="239" t="str">
        <f t="shared" si="574"/>
        <v>Tunesië</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Zweden</v>
      </c>
      <c r="X42" s="240">
        <f t="shared" si="29"/>
        <v>44</v>
      </c>
      <c r="Y42" s="239" t="str">
        <f t="shared" si="578"/>
        <v>Tunesië</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Zweden</v>
      </c>
      <c r="AK42" s="240">
        <f t="shared" si="32"/>
        <v>44</v>
      </c>
      <c r="AL42" s="239" t="str">
        <f t="shared" si="582"/>
        <v>Tunesië</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Zweden</v>
      </c>
      <c r="AX42" s="240">
        <f t="shared" si="35"/>
        <v>44</v>
      </c>
      <c r="AY42" s="239" t="str">
        <f t="shared" si="586"/>
        <v>Tunesië</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Zweden</v>
      </c>
      <c r="BK42" s="240">
        <f t="shared" si="38"/>
        <v>44</v>
      </c>
      <c r="BL42" s="239" t="str">
        <f t="shared" si="590"/>
        <v>Tunesië</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Zweden</v>
      </c>
      <c r="BX42" s="240">
        <f t="shared" si="41"/>
        <v>44</v>
      </c>
      <c r="BY42" s="239" t="str">
        <f t="shared" si="594"/>
        <v>Tunesië</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Zweden</v>
      </c>
      <c r="CK42" s="240">
        <f t="shared" si="44"/>
        <v>44</v>
      </c>
      <c r="CL42" s="239" t="str">
        <f t="shared" si="598"/>
        <v>Tunesië</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Zweden</v>
      </c>
      <c r="CX42" s="240">
        <f t="shared" si="47"/>
        <v>44</v>
      </c>
      <c r="CY42" s="239" t="str">
        <f t="shared" si="602"/>
        <v>Tunesië</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Zweden</v>
      </c>
      <c r="DK42" s="240">
        <f t="shared" si="50"/>
        <v>44</v>
      </c>
      <c r="DL42" s="239" t="str">
        <f t="shared" si="606"/>
        <v>Tunesië</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Zweden</v>
      </c>
      <c r="DX42" s="240">
        <f t="shared" si="53"/>
        <v>44</v>
      </c>
      <c r="DY42" s="239" t="str">
        <f t="shared" si="610"/>
        <v>Tunesië</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Zweden</v>
      </c>
      <c r="EK42" s="240">
        <f t="shared" si="56"/>
        <v>44</v>
      </c>
      <c r="EL42" s="239" t="str">
        <f t="shared" si="614"/>
        <v>Tunesië</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Zweden</v>
      </c>
      <c r="EX42" s="240">
        <f t="shared" si="59"/>
        <v>44</v>
      </c>
      <c r="EY42" s="239" t="str">
        <f t="shared" si="618"/>
        <v>Tunesië</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Zweden</v>
      </c>
      <c r="FK42" s="240">
        <f t="shared" si="62"/>
        <v>44</v>
      </c>
      <c r="FL42" s="239" t="str">
        <f t="shared" si="622"/>
        <v>Tunesië</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Zweden</v>
      </c>
      <c r="FX42" s="240">
        <f t="shared" si="65"/>
        <v>44</v>
      </c>
      <c r="FY42" s="239" t="str">
        <f t="shared" si="626"/>
        <v>Tunesië</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Zweden</v>
      </c>
      <c r="GK42" s="240">
        <f t="shared" si="68"/>
        <v>44</v>
      </c>
      <c r="GL42" s="239" t="str">
        <f t="shared" si="630"/>
        <v>Tunesië</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Zweden</v>
      </c>
      <c r="GX42" s="240">
        <f t="shared" si="71"/>
        <v>44</v>
      </c>
      <c r="GY42" s="239" t="str">
        <f t="shared" si="634"/>
        <v>Tunesië</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Zweden</v>
      </c>
      <c r="HK42" s="240">
        <f t="shared" si="74"/>
        <v>44</v>
      </c>
      <c r="HL42" s="239" t="str">
        <f t="shared" si="638"/>
        <v>Tunesië</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Zweden</v>
      </c>
      <c r="HX42" s="240">
        <f t="shared" si="77"/>
        <v>44</v>
      </c>
      <c r="HY42" s="239" t="str">
        <f t="shared" si="642"/>
        <v>Tunesië</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Zweden</v>
      </c>
      <c r="IK42" s="240">
        <f t="shared" si="80"/>
        <v>44</v>
      </c>
      <c r="IL42" s="239" t="str">
        <f t="shared" si="646"/>
        <v>Tunesië</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Zweden</v>
      </c>
      <c r="IX42" s="240">
        <f t="shared" si="83"/>
        <v>44</v>
      </c>
      <c r="IY42" s="239" t="str">
        <f t="shared" si="650"/>
        <v>Tunesië</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Zweden</v>
      </c>
      <c r="JK42" s="240">
        <f t="shared" si="86"/>
        <v>44</v>
      </c>
      <c r="JL42" s="239" t="str">
        <f t="shared" si="654"/>
        <v>Tunesië</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Zweden</v>
      </c>
      <c r="JX42" s="240">
        <f t="shared" si="89"/>
        <v>44</v>
      </c>
      <c r="JY42" s="239" t="str">
        <f t="shared" si="658"/>
        <v>Tunesië</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Zweden</v>
      </c>
      <c r="KK42" s="240">
        <f t="shared" si="92"/>
        <v>44</v>
      </c>
      <c r="KL42" s="239" t="str">
        <f t="shared" si="662"/>
        <v>Tunesië</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Zweden</v>
      </c>
      <c r="KX42" s="240">
        <f t="shared" si="95"/>
        <v>44</v>
      </c>
      <c r="KY42" s="239" t="str">
        <f t="shared" si="666"/>
        <v>Tunesië</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Zweden</v>
      </c>
      <c r="LK42" s="240">
        <f t="shared" si="98"/>
        <v>44</v>
      </c>
      <c r="LL42" s="239" t="str">
        <f t="shared" si="670"/>
        <v>Tunesië</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Zweden</v>
      </c>
      <c r="LX42" s="240">
        <f t="shared" si="101"/>
        <v>44</v>
      </c>
      <c r="LY42" s="239" t="str">
        <f t="shared" si="674"/>
        <v>Tunesië</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468"/>
        <v>7</v>
      </c>
      <c r="J43" s="239" t="str">
        <f t="shared" si="573"/>
        <v>Nederland</v>
      </c>
      <c r="K43" s="240">
        <f t="shared" si="26"/>
        <v>38</v>
      </c>
      <c r="L43" s="239" t="str">
        <f t="shared" si="574"/>
        <v>Zweden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Nederland</v>
      </c>
      <c r="X43" s="240">
        <f t="shared" si="29"/>
        <v>38</v>
      </c>
      <c r="Y43" s="239" t="str">
        <f t="shared" si="578"/>
        <v>Zweden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Nederland</v>
      </c>
      <c r="AK43" s="240">
        <f t="shared" si="32"/>
        <v>38</v>
      </c>
      <c r="AL43" s="239" t="str">
        <f t="shared" si="582"/>
        <v>Zweden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Nederland</v>
      </c>
      <c r="AX43" s="240">
        <f t="shared" si="35"/>
        <v>38</v>
      </c>
      <c r="AY43" s="239" t="str">
        <f t="shared" si="586"/>
        <v>Zweden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Nederland</v>
      </c>
      <c r="BK43" s="240">
        <f t="shared" si="38"/>
        <v>38</v>
      </c>
      <c r="BL43" s="239" t="str">
        <f t="shared" si="590"/>
        <v>Zweden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Nederland</v>
      </c>
      <c r="BX43" s="240">
        <f t="shared" si="41"/>
        <v>38</v>
      </c>
      <c r="BY43" s="239" t="str">
        <f t="shared" si="594"/>
        <v>Zweden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Nederland</v>
      </c>
      <c r="CK43" s="240">
        <f t="shared" si="44"/>
        <v>38</v>
      </c>
      <c r="CL43" s="239" t="str">
        <f t="shared" si="598"/>
        <v>Zweden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Nederland</v>
      </c>
      <c r="CX43" s="240">
        <f t="shared" si="47"/>
        <v>38</v>
      </c>
      <c r="CY43" s="239" t="str">
        <f t="shared" si="602"/>
        <v>Zweden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Nederland</v>
      </c>
      <c r="DK43" s="240">
        <f t="shared" si="50"/>
        <v>38</v>
      </c>
      <c r="DL43" s="239" t="str">
        <f t="shared" si="606"/>
        <v>Zweden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Nederland</v>
      </c>
      <c r="DX43" s="240">
        <f t="shared" si="53"/>
        <v>38</v>
      </c>
      <c r="DY43" s="239" t="str">
        <f t="shared" si="610"/>
        <v>Zweden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Nederland</v>
      </c>
      <c r="EK43" s="240">
        <f t="shared" si="56"/>
        <v>38</v>
      </c>
      <c r="EL43" s="239" t="str">
        <f t="shared" si="614"/>
        <v>Zweden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Nederland</v>
      </c>
      <c r="EX43" s="240">
        <f t="shared" si="59"/>
        <v>38</v>
      </c>
      <c r="EY43" s="239" t="str">
        <f t="shared" si="618"/>
        <v>Zweden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Nederland</v>
      </c>
      <c r="FK43" s="240">
        <f t="shared" si="62"/>
        <v>38</v>
      </c>
      <c r="FL43" s="239" t="str">
        <f t="shared" si="622"/>
        <v>Zweden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Nederland</v>
      </c>
      <c r="FX43" s="240">
        <f t="shared" si="65"/>
        <v>38</v>
      </c>
      <c r="FY43" s="239" t="str">
        <f t="shared" si="626"/>
        <v>Zweden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Nederland</v>
      </c>
      <c r="GK43" s="240">
        <f t="shared" si="68"/>
        <v>38</v>
      </c>
      <c r="GL43" s="239" t="str">
        <f t="shared" si="630"/>
        <v>Zweden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Nederland</v>
      </c>
      <c r="GX43" s="240">
        <f t="shared" si="71"/>
        <v>38</v>
      </c>
      <c r="GY43" s="239" t="str">
        <f t="shared" si="634"/>
        <v>Zweden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Nederland</v>
      </c>
      <c r="HK43" s="240">
        <f t="shared" si="74"/>
        <v>38</v>
      </c>
      <c r="HL43" s="239" t="str">
        <f t="shared" si="638"/>
        <v>Zweden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Nederland</v>
      </c>
      <c r="HX43" s="240">
        <f t="shared" si="77"/>
        <v>38</v>
      </c>
      <c r="HY43" s="239" t="str">
        <f t="shared" si="642"/>
        <v>Zweden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Nederland</v>
      </c>
      <c r="IK43" s="240">
        <f t="shared" si="80"/>
        <v>38</v>
      </c>
      <c r="IL43" s="239" t="str">
        <f t="shared" si="646"/>
        <v>Zweden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Nederland</v>
      </c>
      <c r="IX43" s="240">
        <f t="shared" si="83"/>
        <v>38</v>
      </c>
      <c r="IY43" s="239" t="str">
        <f t="shared" si="650"/>
        <v>Zweden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Nederland</v>
      </c>
      <c r="JK43" s="240">
        <f t="shared" si="86"/>
        <v>38</v>
      </c>
      <c r="JL43" s="239" t="str">
        <f t="shared" si="654"/>
        <v>Zweden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Nederland</v>
      </c>
      <c r="JX43" s="240">
        <f t="shared" si="89"/>
        <v>38</v>
      </c>
      <c r="JY43" s="239" t="str">
        <f t="shared" si="658"/>
        <v>Zweden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Nederland</v>
      </c>
      <c r="KK43" s="240">
        <f t="shared" si="92"/>
        <v>38</v>
      </c>
      <c r="KL43" s="239" t="str">
        <f t="shared" si="662"/>
        <v>Zweden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Nederland</v>
      </c>
      <c r="KX43" s="240">
        <f t="shared" si="95"/>
        <v>38</v>
      </c>
      <c r="KY43" s="239" t="str">
        <f t="shared" si="666"/>
        <v>Zweden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Nederland</v>
      </c>
      <c r="LK43" s="240">
        <f t="shared" si="98"/>
        <v>38</v>
      </c>
      <c r="LL43" s="239" t="str">
        <f t="shared" si="670"/>
        <v>Zweden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Nederland</v>
      </c>
      <c r="LX43" s="240">
        <f t="shared" si="101"/>
        <v>38</v>
      </c>
      <c r="LY43" s="239" t="str">
        <f t="shared" si="674"/>
        <v>Zweden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468"/>
        <v>44</v>
      </c>
      <c r="J44" s="239" t="str">
        <f t="shared" si="573"/>
        <v>Tunesië</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Tunesië</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Tunesië</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Tunesië</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Tunesië</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Tunesië</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Tunesië</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Tunesië</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Tunesië</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Tunesië</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Tunesië</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Tunesië</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Tunesië</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Tunesië</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Tunesië</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Tunesië</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Tunesië</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Tunesië</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Tunesië</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Tunesië</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Tunesië</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Tunesië</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Tunesië</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Tunesië</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Tunesië</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Tunesië</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468"/>
        <v>18</v>
      </c>
      <c r="J45" s="239" t="str">
        <f t="shared" si="573"/>
        <v>Japan</v>
      </c>
      <c r="K45" s="240">
        <f t="shared" si="26"/>
        <v>38</v>
      </c>
      <c r="L45" s="239" t="str">
        <f t="shared" si="574"/>
        <v>Zweden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Zweden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Zweden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Zweden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Zweden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Zweden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Zweden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Zweden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Zweden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Zweden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Zweden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Zweden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Zweden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Zweden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Zweden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Zweden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Zweden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Zweden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Zweden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Zweden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Zweden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Zweden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Zweden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Zweden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Zweden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Zweden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468"/>
        <v>44</v>
      </c>
      <c r="J46" s="239" t="str">
        <f t="shared" si="573"/>
        <v>Tunesië</v>
      </c>
      <c r="K46" s="240">
        <f t="shared" si="26"/>
        <v>7</v>
      </c>
      <c r="L46" s="239" t="str">
        <f t="shared" si="574"/>
        <v>Nederland</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Tunesië</v>
      </c>
      <c r="X46" s="240">
        <f t="shared" si="29"/>
        <v>7</v>
      </c>
      <c r="Y46" s="239" t="str">
        <f t="shared" si="578"/>
        <v>Nederland</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Tunesië</v>
      </c>
      <c r="AK46" s="240">
        <f t="shared" si="32"/>
        <v>7</v>
      </c>
      <c r="AL46" s="239" t="str">
        <f t="shared" si="582"/>
        <v>Nederland</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Tunesië</v>
      </c>
      <c r="AX46" s="240">
        <f t="shared" si="35"/>
        <v>7</v>
      </c>
      <c r="AY46" s="239" t="str">
        <f t="shared" si="586"/>
        <v>Nederland</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Tunesië</v>
      </c>
      <c r="BK46" s="240">
        <f t="shared" si="38"/>
        <v>7</v>
      </c>
      <c r="BL46" s="239" t="str">
        <f t="shared" si="590"/>
        <v>Nederland</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Tunesië</v>
      </c>
      <c r="BX46" s="240">
        <f t="shared" si="41"/>
        <v>7</v>
      </c>
      <c r="BY46" s="239" t="str">
        <f t="shared" si="594"/>
        <v>Nederland</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Tunesië</v>
      </c>
      <c r="CK46" s="240">
        <f t="shared" si="44"/>
        <v>7</v>
      </c>
      <c r="CL46" s="239" t="str">
        <f t="shared" si="598"/>
        <v>Nederland</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Tunesië</v>
      </c>
      <c r="CX46" s="240">
        <f t="shared" si="47"/>
        <v>7</v>
      </c>
      <c r="CY46" s="239" t="str">
        <f t="shared" si="602"/>
        <v>Nederland</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Tunesië</v>
      </c>
      <c r="DK46" s="240">
        <f t="shared" si="50"/>
        <v>7</v>
      </c>
      <c r="DL46" s="239" t="str">
        <f t="shared" si="606"/>
        <v>Nederland</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Tunesië</v>
      </c>
      <c r="DX46" s="240">
        <f t="shared" si="53"/>
        <v>7</v>
      </c>
      <c r="DY46" s="239" t="str">
        <f t="shared" si="610"/>
        <v>Nederland</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Tunesië</v>
      </c>
      <c r="EK46" s="240">
        <f t="shared" si="56"/>
        <v>7</v>
      </c>
      <c r="EL46" s="239" t="str">
        <f t="shared" si="614"/>
        <v>Nederland</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Tunesië</v>
      </c>
      <c r="EX46" s="240">
        <f t="shared" si="59"/>
        <v>7</v>
      </c>
      <c r="EY46" s="239" t="str">
        <f t="shared" si="618"/>
        <v>Nederland</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Tunesië</v>
      </c>
      <c r="FK46" s="240">
        <f t="shared" si="62"/>
        <v>7</v>
      </c>
      <c r="FL46" s="239" t="str">
        <f t="shared" si="622"/>
        <v>Nederland</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Tunesië</v>
      </c>
      <c r="FX46" s="240">
        <f t="shared" si="65"/>
        <v>7</v>
      </c>
      <c r="FY46" s="239" t="str">
        <f t="shared" si="626"/>
        <v>Nederland</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Tunesië</v>
      </c>
      <c r="GK46" s="240">
        <f t="shared" si="68"/>
        <v>7</v>
      </c>
      <c r="GL46" s="239" t="str">
        <f t="shared" si="630"/>
        <v>Nederland</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Tunesië</v>
      </c>
      <c r="GX46" s="240">
        <f t="shared" si="71"/>
        <v>7</v>
      </c>
      <c r="GY46" s="239" t="str">
        <f t="shared" si="634"/>
        <v>Nederland</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Tunesië</v>
      </c>
      <c r="HK46" s="240">
        <f t="shared" si="74"/>
        <v>7</v>
      </c>
      <c r="HL46" s="239" t="str">
        <f t="shared" si="638"/>
        <v>Nederland</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Tunesië</v>
      </c>
      <c r="HX46" s="240">
        <f t="shared" si="77"/>
        <v>7</v>
      </c>
      <c r="HY46" s="239" t="str">
        <f t="shared" si="642"/>
        <v>Nederland</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Tunesië</v>
      </c>
      <c r="IK46" s="240">
        <f t="shared" si="80"/>
        <v>7</v>
      </c>
      <c r="IL46" s="239" t="str">
        <f t="shared" si="646"/>
        <v>Nederland</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Tunesië</v>
      </c>
      <c r="IX46" s="240">
        <f t="shared" si="83"/>
        <v>7</v>
      </c>
      <c r="IY46" s="239" t="str">
        <f t="shared" si="650"/>
        <v>Nederland</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Tunesië</v>
      </c>
      <c r="JK46" s="240">
        <f t="shared" si="86"/>
        <v>7</v>
      </c>
      <c r="JL46" s="239" t="str">
        <f t="shared" si="654"/>
        <v>Nederland</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Tunesië</v>
      </c>
      <c r="JX46" s="240">
        <f t="shared" si="89"/>
        <v>7</v>
      </c>
      <c r="JY46" s="239" t="str">
        <f t="shared" si="658"/>
        <v>Nederland</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Tunesië</v>
      </c>
      <c r="KK46" s="240">
        <f t="shared" si="92"/>
        <v>7</v>
      </c>
      <c r="KL46" s="239" t="str">
        <f t="shared" si="662"/>
        <v>Nederland</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Tunesië</v>
      </c>
      <c r="KX46" s="240">
        <f t="shared" si="95"/>
        <v>7</v>
      </c>
      <c r="KY46" s="239" t="str">
        <f t="shared" si="666"/>
        <v>Nederland</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Tunesië</v>
      </c>
      <c r="LK46" s="240">
        <f t="shared" si="98"/>
        <v>7</v>
      </c>
      <c r="LL46" s="239" t="str">
        <f t="shared" si="670"/>
        <v>Nederland</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Tunesië</v>
      </c>
      <c r="LX46" s="240">
        <f t="shared" si="101"/>
        <v>7</v>
      </c>
      <c r="LY46" s="239" t="str">
        <f t="shared" si="674"/>
        <v>Nederland</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468"/>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468"/>
        <v>9</v>
      </c>
      <c r="J48" s="239" t="str">
        <f t="shared" ref="J48:J53" si="677">$C48</f>
        <v>België</v>
      </c>
      <c r="K48" s="240">
        <f t="shared" si="26"/>
        <v>29</v>
      </c>
      <c r="L48" s="239" t="str">
        <f t="shared" ref="L48:L53" si="678">$E48</f>
        <v>Egypte</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België</v>
      </c>
      <c r="X48" s="240">
        <f t="shared" si="29"/>
        <v>29</v>
      </c>
      <c r="Y48" s="239" t="str">
        <f t="shared" ref="Y48:Y53" si="682">$E48</f>
        <v>Egypte</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België</v>
      </c>
      <c r="AK48" s="240">
        <f t="shared" si="32"/>
        <v>29</v>
      </c>
      <c r="AL48" s="239" t="str">
        <f t="shared" ref="AL48:AL53" si="686">$E48</f>
        <v>Egypte</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België</v>
      </c>
      <c r="AX48" s="240">
        <f t="shared" si="35"/>
        <v>29</v>
      </c>
      <c r="AY48" s="239" t="str">
        <f t="shared" ref="AY48:AY53" si="690">$E48</f>
        <v>Egypte</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België</v>
      </c>
      <c r="BK48" s="240">
        <f t="shared" si="38"/>
        <v>29</v>
      </c>
      <c r="BL48" s="239" t="str">
        <f t="shared" ref="BL48:BL53" si="694">$E48</f>
        <v>Egypte</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België</v>
      </c>
      <c r="BX48" s="240">
        <f t="shared" si="41"/>
        <v>29</v>
      </c>
      <c r="BY48" s="239" t="str">
        <f t="shared" ref="BY48:BY53" si="698">$E48</f>
        <v>Egypte</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België</v>
      </c>
      <c r="CK48" s="240">
        <f t="shared" si="44"/>
        <v>29</v>
      </c>
      <c r="CL48" s="239" t="str">
        <f t="shared" ref="CL48:CL53" si="702">$E48</f>
        <v>Egypte</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België</v>
      </c>
      <c r="CX48" s="240">
        <f t="shared" si="47"/>
        <v>29</v>
      </c>
      <c r="CY48" s="239" t="str">
        <f t="shared" ref="CY48:CY53" si="706">$E48</f>
        <v>Egypte</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België</v>
      </c>
      <c r="DK48" s="240">
        <f t="shared" si="50"/>
        <v>29</v>
      </c>
      <c r="DL48" s="239" t="str">
        <f t="shared" ref="DL48:DL53" si="710">$E48</f>
        <v>Egypte</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België</v>
      </c>
      <c r="DX48" s="240">
        <f t="shared" si="53"/>
        <v>29</v>
      </c>
      <c r="DY48" s="239" t="str">
        <f t="shared" ref="DY48:DY53" si="714">$E48</f>
        <v>Egypte</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België</v>
      </c>
      <c r="EK48" s="240">
        <f t="shared" si="56"/>
        <v>29</v>
      </c>
      <c r="EL48" s="239" t="str">
        <f t="shared" ref="EL48:EL53" si="718">$E48</f>
        <v>Egypte</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België</v>
      </c>
      <c r="EX48" s="240">
        <f t="shared" si="59"/>
        <v>29</v>
      </c>
      <c r="EY48" s="239" t="str">
        <f t="shared" ref="EY48:EY53" si="722">$E48</f>
        <v>Egypte</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België</v>
      </c>
      <c r="FK48" s="240">
        <f t="shared" si="62"/>
        <v>29</v>
      </c>
      <c r="FL48" s="239" t="str">
        <f t="shared" ref="FL48:FL53" si="726">$E48</f>
        <v>Egypte</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België</v>
      </c>
      <c r="FX48" s="240">
        <f t="shared" si="65"/>
        <v>29</v>
      </c>
      <c r="FY48" s="239" t="str">
        <f t="shared" ref="FY48:FY53" si="730">$E48</f>
        <v>Egypte</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België</v>
      </c>
      <c r="GK48" s="240">
        <f t="shared" si="68"/>
        <v>29</v>
      </c>
      <c r="GL48" s="239" t="str">
        <f t="shared" ref="GL48:GL53" si="734">$E48</f>
        <v>Egypte</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België</v>
      </c>
      <c r="GX48" s="240">
        <f t="shared" si="71"/>
        <v>29</v>
      </c>
      <c r="GY48" s="239" t="str">
        <f t="shared" ref="GY48:GY53" si="738">$E48</f>
        <v>Egypte</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België</v>
      </c>
      <c r="HK48" s="240">
        <f t="shared" si="74"/>
        <v>29</v>
      </c>
      <c r="HL48" s="239" t="str">
        <f t="shared" ref="HL48:HL53" si="742">$E48</f>
        <v>Egypte</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België</v>
      </c>
      <c r="HX48" s="240">
        <f t="shared" si="77"/>
        <v>29</v>
      </c>
      <c r="HY48" s="239" t="str">
        <f t="shared" ref="HY48:HY53" si="746">$E48</f>
        <v>Egypte</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België</v>
      </c>
      <c r="IK48" s="240">
        <f t="shared" si="80"/>
        <v>29</v>
      </c>
      <c r="IL48" s="239" t="str">
        <f t="shared" ref="IL48:IL53" si="750">$E48</f>
        <v>Egypte</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België</v>
      </c>
      <c r="IX48" s="240">
        <f t="shared" si="83"/>
        <v>29</v>
      </c>
      <c r="IY48" s="239" t="str">
        <f t="shared" ref="IY48:IY53" si="754">$E48</f>
        <v>Egypte</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België</v>
      </c>
      <c r="JK48" s="240">
        <f t="shared" si="86"/>
        <v>29</v>
      </c>
      <c r="JL48" s="239" t="str">
        <f t="shared" ref="JL48:JL53" si="758">$E48</f>
        <v>Egypte</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België</v>
      </c>
      <c r="JX48" s="240">
        <f t="shared" si="89"/>
        <v>29</v>
      </c>
      <c r="JY48" s="239" t="str">
        <f t="shared" ref="JY48:JY53" si="762">$E48</f>
        <v>Egypte</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België</v>
      </c>
      <c r="KK48" s="240">
        <f t="shared" si="92"/>
        <v>29</v>
      </c>
      <c r="KL48" s="239" t="str">
        <f t="shared" ref="KL48:KL53" si="766">$E48</f>
        <v>Egypte</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België</v>
      </c>
      <c r="KX48" s="240">
        <f t="shared" si="95"/>
        <v>29</v>
      </c>
      <c r="KY48" s="239" t="str">
        <f t="shared" ref="KY48:KY53" si="770">$E48</f>
        <v>Egypte</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België</v>
      </c>
      <c r="LK48" s="240">
        <f t="shared" si="98"/>
        <v>29</v>
      </c>
      <c r="LL48" s="239" t="str">
        <f t="shared" ref="LL48:LL53" si="774">$E48</f>
        <v>Egypte</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België</v>
      </c>
      <c r="LX48" s="240">
        <f t="shared" si="101"/>
        <v>29</v>
      </c>
      <c r="LY48" s="239" t="str">
        <f t="shared" ref="LY48:LY53" si="778">$E48</f>
        <v>Egypte</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468"/>
        <v>21</v>
      </c>
      <c r="J49" s="239" t="str">
        <f t="shared" si="677"/>
        <v>Iran</v>
      </c>
      <c r="K49" s="240">
        <f t="shared" si="26"/>
        <v>85</v>
      </c>
      <c r="L49" s="239" t="str">
        <f t="shared" si="678"/>
        <v>Nieuw-Zeeland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Iran</v>
      </c>
      <c r="X49" s="240">
        <f t="shared" si="29"/>
        <v>85</v>
      </c>
      <c r="Y49" s="239" t="str">
        <f t="shared" si="682"/>
        <v>Nieuw-Zeeland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Iran</v>
      </c>
      <c r="AK49" s="240">
        <f t="shared" si="32"/>
        <v>85</v>
      </c>
      <c r="AL49" s="239" t="str">
        <f t="shared" si="686"/>
        <v>Nieuw-Zeeland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Iran</v>
      </c>
      <c r="AX49" s="240">
        <f t="shared" si="35"/>
        <v>85</v>
      </c>
      <c r="AY49" s="239" t="str">
        <f t="shared" si="690"/>
        <v>Nieuw-Zeeland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Iran</v>
      </c>
      <c r="BK49" s="240">
        <f t="shared" si="38"/>
        <v>85</v>
      </c>
      <c r="BL49" s="239" t="str">
        <f t="shared" si="694"/>
        <v>Nieuw-Zeeland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Iran</v>
      </c>
      <c r="BX49" s="240">
        <f t="shared" si="41"/>
        <v>85</v>
      </c>
      <c r="BY49" s="239" t="str">
        <f t="shared" si="698"/>
        <v>Nieuw-Zeeland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Iran</v>
      </c>
      <c r="CK49" s="240">
        <f t="shared" si="44"/>
        <v>85</v>
      </c>
      <c r="CL49" s="239" t="str">
        <f t="shared" si="702"/>
        <v>Nieuw-Zeeland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Iran</v>
      </c>
      <c r="CX49" s="240">
        <f t="shared" si="47"/>
        <v>85</v>
      </c>
      <c r="CY49" s="239" t="str">
        <f t="shared" si="706"/>
        <v>Nieuw-Zeeland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Iran</v>
      </c>
      <c r="DK49" s="240">
        <f t="shared" si="50"/>
        <v>85</v>
      </c>
      <c r="DL49" s="239" t="str">
        <f t="shared" si="710"/>
        <v>Nieuw-Zeeland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Iran</v>
      </c>
      <c r="DX49" s="240">
        <f t="shared" si="53"/>
        <v>85</v>
      </c>
      <c r="DY49" s="239" t="str">
        <f t="shared" si="714"/>
        <v>Nieuw-Zeeland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Iran</v>
      </c>
      <c r="EK49" s="240">
        <f t="shared" si="56"/>
        <v>85</v>
      </c>
      <c r="EL49" s="239" t="str">
        <f t="shared" si="718"/>
        <v>Nieuw-Zeeland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Iran</v>
      </c>
      <c r="EX49" s="240">
        <f t="shared" si="59"/>
        <v>85</v>
      </c>
      <c r="EY49" s="239" t="str">
        <f t="shared" si="722"/>
        <v>Nieuw-Zeeland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Iran</v>
      </c>
      <c r="FK49" s="240">
        <f t="shared" si="62"/>
        <v>85</v>
      </c>
      <c r="FL49" s="239" t="str">
        <f t="shared" si="726"/>
        <v>Nieuw-Zeeland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Iran</v>
      </c>
      <c r="FX49" s="240">
        <f t="shared" si="65"/>
        <v>85</v>
      </c>
      <c r="FY49" s="239" t="str">
        <f t="shared" si="730"/>
        <v>Nieuw-Zeeland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Iran</v>
      </c>
      <c r="GK49" s="240">
        <f t="shared" si="68"/>
        <v>85</v>
      </c>
      <c r="GL49" s="239" t="str">
        <f t="shared" si="734"/>
        <v>Nieuw-Zeeland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Iran</v>
      </c>
      <c r="GX49" s="240">
        <f t="shared" si="71"/>
        <v>85</v>
      </c>
      <c r="GY49" s="239" t="str">
        <f t="shared" si="738"/>
        <v>Nieuw-Zeeland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Iran</v>
      </c>
      <c r="HK49" s="240">
        <f t="shared" si="74"/>
        <v>85</v>
      </c>
      <c r="HL49" s="239" t="str">
        <f t="shared" si="742"/>
        <v>Nieuw-Zeeland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Iran</v>
      </c>
      <c r="HX49" s="240">
        <f t="shared" si="77"/>
        <v>85</v>
      </c>
      <c r="HY49" s="239" t="str">
        <f t="shared" si="746"/>
        <v>Nieuw-Zeeland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Iran</v>
      </c>
      <c r="IK49" s="240">
        <f t="shared" si="80"/>
        <v>85</v>
      </c>
      <c r="IL49" s="239" t="str">
        <f t="shared" si="750"/>
        <v>Nieuw-Zeeland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Iran</v>
      </c>
      <c r="IX49" s="240">
        <f t="shared" si="83"/>
        <v>85</v>
      </c>
      <c r="IY49" s="239" t="str">
        <f t="shared" si="754"/>
        <v>Nieuw-Zeeland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Iran</v>
      </c>
      <c r="JK49" s="240">
        <f t="shared" si="86"/>
        <v>85</v>
      </c>
      <c r="JL49" s="239" t="str">
        <f t="shared" si="758"/>
        <v>Nieuw-Zeeland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Iran</v>
      </c>
      <c r="JX49" s="240">
        <f t="shared" si="89"/>
        <v>85</v>
      </c>
      <c r="JY49" s="239" t="str">
        <f t="shared" si="762"/>
        <v>Nieuw-Zeeland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Iran</v>
      </c>
      <c r="KK49" s="240">
        <f t="shared" si="92"/>
        <v>85</v>
      </c>
      <c r="KL49" s="239" t="str">
        <f t="shared" si="766"/>
        <v>Nieuw-Zeeland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Iran</v>
      </c>
      <c r="KX49" s="240">
        <f t="shared" si="95"/>
        <v>85</v>
      </c>
      <c r="KY49" s="239" t="str">
        <f t="shared" si="770"/>
        <v>Nieuw-Zeeland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Iran</v>
      </c>
      <c r="LK49" s="240">
        <f t="shared" si="98"/>
        <v>85</v>
      </c>
      <c r="LL49" s="239" t="str">
        <f t="shared" si="774"/>
        <v>Nieuw-Zeeland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Iran</v>
      </c>
      <c r="LX49" s="240">
        <f t="shared" si="101"/>
        <v>85</v>
      </c>
      <c r="LY49" s="239" t="str">
        <f t="shared" si="778"/>
        <v>Nieuw-Zeeland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468"/>
        <v>9</v>
      </c>
      <c r="J50" s="239" t="str">
        <f t="shared" si="677"/>
        <v>België</v>
      </c>
      <c r="K50" s="240">
        <f t="shared" si="26"/>
        <v>21</v>
      </c>
      <c r="L50" s="239" t="str">
        <f t="shared" si="678"/>
        <v>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België</v>
      </c>
      <c r="X50" s="240">
        <f t="shared" si="29"/>
        <v>21</v>
      </c>
      <c r="Y50" s="239" t="str">
        <f t="shared" si="682"/>
        <v>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België</v>
      </c>
      <c r="AK50" s="240">
        <f t="shared" si="32"/>
        <v>21</v>
      </c>
      <c r="AL50" s="239" t="str">
        <f t="shared" si="686"/>
        <v>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België</v>
      </c>
      <c r="AX50" s="240">
        <f t="shared" si="35"/>
        <v>21</v>
      </c>
      <c r="AY50" s="239" t="str">
        <f t="shared" si="690"/>
        <v>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België</v>
      </c>
      <c r="BK50" s="240">
        <f t="shared" si="38"/>
        <v>21</v>
      </c>
      <c r="BL50" s="239" t="str">
        <f t="shared" si="694"/>
        <v>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België</v>
      </c>
      <c r="BX50" s="240">
        <f t="shared" si="41"/>
        <v>21</v>
      </c>
      <c r="BY50" s="239" t="str">
        <f t="shared" si="698"/>
        <v>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België</v>
      </c>
      <c r="CK50" s="240">
        <f t="shared" si="44"/>
        <v>21</v>
      </c>
      <c r="CL50" s="239" t="str">
        <f t="shared" si="702"/>
        <v>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België</v>
      </c>
      <c r="CX50" s="240">
        <f t="shared" si="47"/>
        <v>21</v>
      </c>
      <c r="CY50" s="239" t="str">
        <f t="shared" si="706"/>
        <v>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België</v>
      </c>
      <c r="DK50" s="240">
        <f t="shared" si="50"/>
        <v>21</v>
      </c>
      <c r="DL50" s="239" t="str">
        <f t="shared" si="710"/>
        <v>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België</v>
      </c>
      <c r="DX50" s="240">
        <f t="shared" si="53"/>
        <v>21</v>
      </c>
      <c r="DY50" s="239" t="str">
        <f t="shared" si="714"/>
        <v>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België</v>
      </c>
      <c r="EK50" s="240">
        <f t="shared" si="56"/>
        <v>21</v>
      </c>
      <c r="EL50" s="239" t="str">
        <f t="shared" si="718"/>
        <v>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België</v>
      </c>
      <c r="EX50" s="240">
        <f t="shared" si="59"/>
        <v>21</v>
      </c>
      <c r="EY50" s="239" t="str">
        <f t="shared" si="722"/>
        <v>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België</v>
      </c>
      <c r="FK50" s="240">
        <f t="shared" si="62"/>
        <v>21</v>
      </c>
      <c r="FL50" s="239" t="str">
        <f t="shared" si="726"/>
        <v>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België</v>
      </c>
      <c r="FX50" s="240">
        <f t="shared" si="65"/>
        <v>21</v>
      </c>
      <c r="FY50" s="239" t="str">
        <f t="shared" si="730"/>
        <v>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België</v>
      </c>
      <c r="GK50" s="240">
        <f t="shared" si="68"/>
        <v>21</v>
      </c>
      <c r="GL50" s="239" t="str">
        <f t="shared" si="734"/>
        <v>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België</v>
      </c>
      <c r="GX50" s="240">
        <f t="shared" si="71"/>
        <v>21</v>
      </c>
      <c r="GY50" s="239" t="str">
        <f t="shared" si="738"/>
        <v>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België</v>
      </c>
      <c r="HK50" s="240">
        <f t="shared" si="74"/>
        <v>21</v>
      </c>
      <c r="HL50" s="239" t="str">
        <f t="shared" si="742"/>
        <v>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België</v>
      </c>
      <c r="HX50" s="240">
        <f t="shared" si="77"/>
        <v>21</v>
      </c>
      <c r="HY50" s="239" t="str">
        <f t="shared" si="746"/>
        <v>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België</v>
      </c>
      <c r="IK50" s="240">
        <f t="shared" si="80"/>
        <v>21</v>
      </c>
      <c r="IL50" s="239" t="str">
        <f t="shared" si="750"/>
        <v>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België</v>
      </c>
      <c r="IX50" s="240">
        <f t="shared" si="83"/>
        <v>21</v>
      </c>
      <c r="IY50" s="239" t="str">
        <f t="shared" si="754"/>
        <v>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België</v>
      </c>
      <c r="JK50" s="240">
        <f t="shared" si="86"/>
        <v>21</v>
      </c>
      <c r="JL50" s="239" t="str">
        <f t="shared" si="758"/>
        <v>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België</v>
      </c>
      <c r="JX50" s="240">
        <f t="shared" si="89"/>
        <v>21</v>
      </c>
      <c r="JY50" s="239" t="str">
        <f t="shared" si="762"/>
        <v>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België</v>
      </c>
      <c r="KK50" s="240">
        <f t="shared" si="92"/>
        <v>21</v>
      </c>
      <c r="KL50" s="239" t="str">
        <f t="shared" si="766"/>
        <v>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België</v>
      </c>
      <c r="KX50" s="240">
        <f t="shared" si="95"/>
        <v>21</v>
      </c>
      <c r="KY50" s="239" t="str">
        <f t="shared" si="770"/>
        <v>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België</v>
      </c>
      <c r="LK50" s="240">
        <f t="shared" si="98"/>
        <v>21</v>
      </c>
      <c r="LL50" s="239" t="str">
        <f t="shared" si="774"/>
        <v>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België</v>
      </c>
      <c r="LX50" s="240">
        <f t="shared" si="101"/>
        <v>21</v>
      </c>
      <c r="LY50" s="239" t="str">
        <f t="shared" si="778"/>
        <v>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468"/>
        <v>85</v>
      </c>
      <c r="J51" s="239" t="str">
        <f t="shared" si="677"/>
        <v>Nieuw-Zeeland</v>
      </c>
      <c r="K51" s="240">
        <f t="shared" si="26"/>
        <v>29</v>
      </c>
      <c r="L51" s="239" t="str">
        <f t="shared" si="678"/>
        <v>Egypte</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Nieuw-Zeeland</v>
      </c>
      <c r="X51" s="240">
        <f t="shared" si="29"/>
        <v>29</v>
      </c>
      <c r="Y51" s="239" t="str">
        <f t="shared" si="682"/>
        <v>Egypte</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Nieuw-Zeeland</v>
      </c>
      <c r="AK51" s="240">
        <f t="shared" si="32"/>
        <v>29</v>
      </c>
      <c r="AL51" s="239" t="str">
        <f t="shared" si="686"/>
        <v>Egypte</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Nieuw-Zeeland</v>
      </c>
      <c r="AX51" s="240">
        <f t="shared" si="35"/>
        <v>29</v>
      </c>
      <c r="AY51" s="239" t="str">
        <f t="shared" si="690"/>
        <v>Egypte</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Nieuw-Zeeland</v>
      </c>
      <c r="BK51" s="240">
        <f t="shared" si="38"/>
        <v>29</v>
      </c>
      <c r="BL51" s="239" t="str">
        <f t="shared" si="694"/>
        <v>Egypte</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Nieuw-Zeeland</v>
      </c>
      <c r="BX51" s="240">
        <f t="shared" si="41"/>
        <v>29</v>
      </c>
      <c r="BY51" s="239" t="str">
        <f t="shared" si="698"/>
        <v>Egypte</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Nieuw-Zeeland</v>
      </c>
      <c r="CK51" s="240">
        <f t="shared" si="44"/>
        <v>29</v>
      </c>
      <c r="CL51" s="239" t="str">
        <f t="shared" si="702"/>
        <v>Egypte</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Nieuw-Zeeland</v>
      </c>
      <c r="CX51" s="240">
        <f t="shared" si="47"/>
        <v>29</v>
      </c>
      <c r="CY51" s="239" t="str">
        <f t="shared" si="706"/>
        <v>Egypte</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Nieuw-Zeeland</v>
      </c>
      <c r="DK51" s="240">
        <f t="shared" si="50"/>
        <v>29</v>
      </c>
      <c r="DL51" s="239" t="str">
        <f t="shared" si="710"/>
        <v>Egypte</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Nieuw-Zeeland</v>
      </c>
      <c r="DX51" s="240">
        <f t="shared" si="53"/>
        <v>29</v>
      </c>
      <c r="DY51" s="239" t="str">
        <f t="shared" si="714"/>
        <v>Egypte</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Nieuw-Zeeland</v>
      </c>
      <c r="EK51" s="240">
        <f t="shared" si="56"/>
        <v>29</v>
      </c>
      <c r="EL51" s="239" t="str">
        <f t="shared" si="718"/>
        <v>Egypte</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Nieuw-Zeeland</v>
      </c>
      <c r="EX51" s="240">
        <f t="shared" si="59"/>
        <v>29</v>
      </c>
      <c r="EY51" s="239" t="str">
        <f t="shared" si="722"/>
        <v>Egypte</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Nieuw-Zeeland</v>
      </c>
      <c r="FK51" s="240">
        <f t="shared" si="62"/>
        <v>29</v>
      </c>
      <c r="FL51" s="239" t="str">
        <f t="shared" si="726"/>
        <v>Egypte</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Nieuw-Zeeland</v>
      </c>
      <c r="FX51" s="240">
        <f t="shared" si="65"/>
        <v>29</v>
      </c>
      <c r="FY51" s="239" t="str">
        <f t="shared" si="730"/>
        <v>Egypte</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Nieuw-Zeeland</v>
      </c>
      <c r="GK51" s="240">
        <f t="shared" si="68"/>
        <v>29</v>
      </c>
      <c r="GL51" s="239" t="str">
        <f t="shared" si="734"/>
        <v>Egypte</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Nieuw-Zeeland</v>
      </c>
      <c r="GX51" s="240">
        <f t="shared" si="71"/>
        <v>29</v>
      </c>
      <c r="GY51" s="239" t="str">
        <f t="shared" si="738"/>
        <v>Egypte</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Nieuw-Zeeland</v>
      </c>
      <c r="HK51" s="240">
        <f t="shared" si="74"/>
        <v>29</v>
      </c>
      <c r="HL51" s="239" t="str">
        <f t="shared" si="742"/>
        <v>Egypte</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Nieuw-Zeeland</v>
      </c>
      <c r="HX51" s="240">
        <f t="shared" si="77"/>
        <v>29</v>
      </c>
      <c r="HY51" s="239" t="str">
        <f t="shared" si="746"/>
        <v>Egypte</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Nieuw-Zeeland</v>
      </c>
      <c r="IK51" s="240">
        <f t="shared" si="80"/>
        <v>29</v>
      </c>
      <c r="IL51" s="239" t="str">
        <f t="shared" si="750"/>
        <v>Egypte</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Nieuw-Zeeland</v>
      </c>
      <c r="IX51" s="240">
        <f t="shared" si="83"/>
        <v>29</v>
      </c>
      <c r="IY51" s="239" t="str">
        <f t="shared" si="754"/>
        <v>Egypte</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Nieuw-Zeeland</v>
      </c>
      <c r="JK51" s="240">
        <f t="shared" si="86"/>
        <v>29</v>
      </c>
      <c r="JL51" s="239" t="str">
        <f t="shared" si="758"/>
        <v>Egypte</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Nieuw-Zeeland</v>
      </c>
      <c r="JX51" s="240">
        <f t="shared" si="89"/>
        <v>29</v>
      </c>
      <c r="JY51" s="239" t="str">
        <f t="shared" si="762"/>
        <v>Egypte</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Nieuw-Zeeland</v>
      </c>
      <c r="KK51" s="240">
        <f t="shared" si="92"/>
        <v>29</v>
      </c>
      <c r="KL51" s="239" t="str">
        <f t="shared" si="766"/>
        <v>Egypte</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Nieuw-Zeeland</v>
      </c>
      <c r="KX51" s="240">
        <f t="shared" si="95"/>
        <v>29</v>
      </c>
      <c r="KY51" s="239" t="str">
        <f t="shared" si="770"/>
        <v>Egypte</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Nieuw-Zeeland</v>
      </c>
      <c r="LK51" s="240">
        <f t="shared" si="98"/>
        <v>29</v>
      </c>
      <c r="LL51" s="239" t="str">
        <f t="shared" si="774"/>
        <v>Egypte</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Nieuw-Zeeland</v>
      </c>
      <c r="LX51" s="240">
        <f t="shared" si="101"/>
        <v>29</v>
      </c>
      <c r="LY51" s="239" t="str">
        <f t="shared" si="778"/>
        <v>Egypte</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t="str">
        <f>CalcG!$R$26</f>
        <v/>
      </c>
      <c r="G52" s="242" t="str">
        <f>CalcG!$S$26</f>
        <v/>
      </c>
      <c r="I52" s="238">
        <f t="shared" si="468"/>
        <v>29</v>
      </c>
      <c r="J52" s="239" t="str">
        <f t="shared" si="677"/>
        <v>Egypte</v>
      </c>
      <c r="K52" s="240">
        <f t="shared" si="26"/>
        <v>21</v>
      </c>
      <c r="L52" s="239" t="str">
        <f t="shared" si="678"/>
        <v>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Egypte</v>
      </c>
      <c r="X52" s="240">
        <f t="shared" si="29"/>
        <v>21</v>
      </c>
      <c r="Y52" s="239" t="str">
        <f t="shared" si="682"/>
        <v>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Egypte</v>
      </c>
      <c r="AK52" s="240">
        <f t="shared" si="32"/>
        <v>21</v>
      </c>
      <c r="AL52" s="239" t="str">
        <f t="shared" si="686"/>
        <v>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Egypte</v>
      </c>
      <c r="AX52" s="240">
        <f t="shared" si="35"/>
        <v>21</v>
      </c>
      <c r="AY52" s="239" t="str">
        <f t="shared" si="690"/>
        <v>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Egypte</v>
      </c>
      <c r="BK52" s="240">
        <f t="shared" si="38"/>
        <v>21</v>
      </c>
      <c r="BL52" s="239" t="str">
        <f t="shared" si="694"/>
        <v>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Egypte</v>
      </c>
      <c r="BX52" s="240">
        <f t="shared" si="41"/>
        <v>21</v>
      </c>
      <c r="BY52" s="239" t="str">
        <f t="shared" si="698"/>
        <v>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Egypte</v>
      </c>
      <c r="CK52" s="240">
        <f t="shared" si="44"/>
        <v>21</v>
      </c>
      <c r="CL52" s="239" t="str">
        <f t="shared" si="702"/>
        <v>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Egypte</v>
      </c>
      <c r="CX52" s="240">
        <f t="shared" si="47"/>
        <v>21</v>
      </c>
      <c r="CY52" s="239" t="str">
        <f t="shared" si="706"/>
        <v>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Egypte</v>
      </c>
      <c r="DK52" s="240">
        <f t="shared" si="50"/>
        <v>21</v>
      </c>
      <c r="DL52" s="239" t="str">
        <f t="shared" si="710"/>
        <v>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Egypte</v>
      </c>
      <c r="DX52" s="240">
        <f t="shared" si="53"/>
        <v>21</v>
      </c>
      <c r="DY52" s="239" t="str">
        <f t="shared" si="714"/>
        <v>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Egypte</v>
      </c>
      <c r="EK52" s="240">
        <f t="shared" si="56"/>
        <v>21</v>
      </c>
      <c r="EL52" s="239" t="str">
        <f t="shared" si="718"/>
        <v>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Egypte</v>
      </c>
      <c r="EX52" s="240">
        <f t="shared" si="59"/>
        <v>21</v>
      </c>
      <c r="EY52" s="239" t="str">
        <f t="shared" si="722"/>
        <v>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Egypte</v>
      </c>
      <c r="FK52" s="240">
        <f t="shared" si="62"/>
        <v>21</v>
      </c>
      <c r="FL52" s="239" t="str">
        <f t="shared" si="726"/>
        <v>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Egypte</v>
      </c>
      <c r="FX52" s="240">
        <f t="shared" si="65"/>
        <v>21</v>
      </c>
      <c r="FY52" s="239" t="str">
        <f t="shared" si="730"/>
        <v>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Egypte</v>
      </c>
      <c r="GK52" s="240">
        <f t="shared" si="68"/>
        <v>21</v>
      </c>
      <c r="GL52" s="239" t="str">
        <f t="shared" si="734"/>
        <v>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Egypte</v>
      </c>
      <c r="GX52" s="240">
        <f t="shared" si="71"/>
        <v>21</v>
      </c>
      <c r="GY52" s="239" t="str">
        <f t="shared" si="738"/>
        <v>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Egypte</v>
      </c>
      <c r="HK52" s="240">
        <f t="shared" si="74"/>
        <v>21</v>
      </c>
      <c r="HL52" s="239" t="str">
        <f t="shared" si="742"/>
        <v>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Egypte</v>
      </c>
      <c r="HX52" s="240">
        <f t="shared" si="77"/>
        <v>21</v>
      </c>
      <c r="HY52" s="239" t="str">
        <f t="shared" si="746"/>
        <v>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Egypte</v>
      </c>
      <c r="IK52" s="240">
        <f t="shared" si="80"/>
        <v>21</v>
      </c>
      <c r="IL52" s="239" t="str">
        <f t="shared" si="750"/>
        <v>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Egypte</v>
      </c>
      <c r="IX52" s="240">
        <f t="shared" si="83"/>
        <v>21</v>
      </c>
      <c r="IY52" s="239" t="str">
        <f t="shared" si="754"/>
        <v>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Egypte</v>
      </c>
      <c r="JK52" s="240">
        <f t="shared" si="86"/>
        <v>21</v>
      </c>
      <c r="JL52" s="239" t="str">
        <f t="shared" si="758"/>
        <v>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Egypte</v>
      </c>
      <c r="JX52" s="240">
        <f t="shared" si="89"/>
        <v>21</v>
      </c>
      <c r="JY52" s="239" t="str">
        <f t="shared" si="762"/>
        <v>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Egypte</v>
      </c>
      <c r="KK52" s="240">
        <f t="shared" si="92"/>
        <v>21</v>
      </c>
      <c r="KL52" s="239" t="str">
        <f t="shared" si="766"/>
        <v>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Egypte</v>
      </c>
      <c r="KX52" s="240">
        <f t="shared" si="95"/>
        <v>21</v>
      </c>
      <c r="KY52" s="239" t="str">
        <f t="shared" si="770"/>
        <v>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Egypte</v>
      </c>
      <c r="LK52" s="240">
        <f t="shared" si="98"/>
        <v>21</v>
      </c>
      <c r="LL52" s="239" t="str">
        <f t="shared" si="774"/>
        <v>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Egypte</v>
      </c>
      <c r="LX52" s="240">
        <f t="shared" si="101"/>
        <v>21</v>
      </c>
      <c r="LY52" s="239" t="str">
        <f t="shared" si="778"/>
        <v>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468"/>
        <v>85</v>
      </c>
      <c r="J53" s="239" t="str">
        <f t="shared" si="677"/>
        <v>Nieuw-Zeeland</v>
      </c>
      <c r="K53" s="240">
        <f t="shared" si="26"/>
        <v>9</v>
      </c>
      <c r="L53" s="239" t="str">
        <f t="shared" si="678"/>
        <v>België</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Nieuw-Zeeland</v>
      </c>
      <c r="X53" s="240">
        <f t="shared" si="29"/>
        <v>9</v>
      </c>
      <c r="Y53" s="239" t="str">
        <f t="shared" si="682"/>
        <v>België</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Nieuw-Zeeland</v>
      </c>
      <c r="AK53" s="240">
        <f t="shared" si="32"/>
        <v>9</v>
      </c>
      <c r="AL53" s="239" t="str">
        <f t="shared" si="686"/>
        <v>België</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Nieuw-Zeeland</v>
      </c>
      <c r="AX53" s="240">
        <f t="shared" si="35"/>
        <v>9</v>
      </c>
      <c r="AY53" s="239" t="str">
        <f t="shared" si="690"/>
        <v>België</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Nieuw-Zeeland</v>
      </c>
      <c r="BK53" s="240">
        <f t="shared" si="38"/>
        <v>9</v>
      </c>
      <c r="BL53" s="239" t="str">
        <f t="shared" si="694"/>
        <v>België</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Nieuw-Zeeland</v>
      </c>
      <c r="BX53" s="240">
        <f t="shared" si="41"/>
        <v>9</v>
      </c>
      <c r="BY53" s="239" t="str">
        <f t="shared" si="698"/>
        <v>België</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Nieuw-Zeeland</v>
      </c>
      <c r="CK53" s="240">
        <f t="shared" si="44"/>
        <v>9</v>
      </c>
      <c r="CL53" s="239" t="str">
        <f t="shared" si="702"/>
        <v>België</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Nieuw-Zeeland</v>
      </c>
      <c r="CX53" s="240">
        <f t="shared" si="47"/>
        <v>9</v>
      </c>
      <c r="CY53" s="239" t="str">
        <f t="shared" si="706"/>
        <v>België</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Nieuw-Zeeland</v>
      </c>
      <c r="DK53" s="240">
        <f t="shared" si="50"/>
        <v>9</v>
      </c>
      <c r="DL53" s="239" t="str">
        <f t="shared" si="710"/>
        <v>België</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Nieuw-Zeeland</v>
      </c>
      <c r="DX53" s="240">
        <f t="shared" si="53"/>
        <v>9</v>
      </c>
      <c r="DY53" s="239" t="str">
        <f t="shared" si="714"/>
        <v>België</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Nieuw-Zeeland</v>
      </c>
      <c r="EK53" s="240">
        <f t="shared" si="56"/>
        <v>9</v>
      </c>
      <c r="EL53" s="239" t="str">
        <f t="shared" si="718"/>
        <v>België</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Nieuw-Zeeland</v>
      </c>
      <c r="EX53" s="240">
        <f t="shared" si="59"/>
        <v>9</v>
      </c>
      <c r="EY53" s="239" t="str">
        <f t="shared" si="722"/>
        <v>België</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Nieuw-Zeeland</v>
      </c>
      <c r="FK53" s="240">
        <f t="shared" si="62"/>
        <v>9</v>
      </c>
      <c r="FL53" s="239" t="str">
        <f t="shared" si="726"/>
        <v>België</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Nieuw-Zeeland</v>
      </c>
      <c r="FX53" s="240">
        <f t="shared" si="65"/>
        <v>9</v>
      </c>
      <c r="FY53" s="239" t="str">
        <f t="shared" si="730"/>
        <v>België</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Nieuw-Zeeland</v>
      </c>
      <c r="GK53" s="240">
        <f t="shared" si="68"/>
        <v>9</v>
      </c>
      <c r="GL53" s="239" t="str">
        <f t="shared" si="734"/>
        <v>België</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Nieuw-Zeeland</v>
      </c>
      <c r="GX53" s="240">
        <f t="shared" si="71"/>
        <v>9</v>
      </c>
      <c r="GY53" s="239" t="str">
        <f t="shared" si="738"/>
        <v>België</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Nieuw-Zeeland</v>
      </c>
      <c r="HK53" s="240">
        <f t="shared" si="74"/>
        <v>9</v>
      </c>
      <c r="HL53" s="239" t="str">
        <f t="shared" si="742"/>
        <v>België</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Nieuw-Zeeland</v>
      </c>
      <c r="HX53" s="240">
        <f t="shared" si="77"/>
        <v>9</v>
      </c>
      <c r="HY53" s="239" t="str">
        <f t="shared" si="746"/>
        <v>België</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Nieuw-Zeeland</v>
      </c>
      <c r="IK53" s="240">
        <f t="shared" si="80"/>
        <v>9</v>
      </c>
      <c r="IL53" s="239" t="str">
        <f t="shared" si="750"/>
        <v>België</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Nieuw-Zeeland</v>
      </c>
      <c r="IX53" s="240">
        <f t="shared" si="83"/>
        <v>9</v>
      </c>
      <c r="IY53" s="239" t="str">
        <f t="shared" si="754"/>
        <v>België</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Nieuw-Zeeland</v>
      </c>
      <c r="JK53" s="240">
        <f t="shared" si="86"/>
        <v>9</v>
      </c>
      <c r="JL53" s="239" t="str">
        <f t="shared" si="758"/>
        <v>België</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Nieuw-Zeeland</v>
      </c>
      <c r="JX53" s="240">
        <f t="shared" si="89"/>
        <v>9</v>
      </c>
      <c r="JY53" s="239" t="str">
        <f t="shared" si="762"/>
        <v>België</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Nieuw-Zeeland</v>
      </c>
      <c r="KK53" s="240">
        <f t="shared" si="92"/>
        <v>9</v>
      </c>
      <c r="KL53" s="239" t="str">
        <f t="shared" si="766"/>
        <v>België</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Nieuw-Zeeland</v>
      </c>
      <c r="KX53" s="240">
        <f t="shared" si="95"/>
        <v>9</v>
      </c>
      <c r="KY53" s="239" t="str">
        <f t="shared" si="770"/>
        <v>België</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Nieuw-Zeeland</v>
      </c>
      <c r="LK53" s="240">
        <f t="shared" si="98"/>
        <v>9</v>
      </c>
      <c r="LL53" s="239" t="str">
        <f t="shared" si="774"/>
        <v>België</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Nieuw-Zeeland</v>
      </c>
      <c r="LX53" s="240">
        <f t="shared" si="101"/>
        <v>9</v>
      </c>
      <c r="LY53" s="239" t="str">
        <f t="shared" si="778"/>
        <v>België</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468"/>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468"/>
        <v>2</v>
      </c>
      <c r="J55" s="239" t="str">
        <f t="shared" ref="J55:J60" si="781">$C55</f>
        <v>Spanje</v>
      </c>
      <c r="K55" s="240">
        <f t="shared" si="26"/>
        <v>69</v>
      </c>
      <c r="L55" s="239" t="str">
        <f t="shared" ref="L55:L60" si="782">$E55</f>
        <v>Kaapverdië</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Spanje</v>
      </c>
      <c r="X55" s="240">
        <f t="shared" si="29"/>
        <v>69</v>
      </c>
      <c r="Y55" s="239" t="str">
        <f t="shared" ref="Y55:Y60" si="786">$E55</f>
        <v>Kaapverdië</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Spanje</v>
      </c>
      <c r="AK55" s="240">
        <f t="shared" si="32"/>
        <v>69</v>
      </c>
      <c r="AL55" s="239" t="str">
        <f t="shared" ref="AL55:AL60" si="790">$E55</f>
        <v>Kaapverdië</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Spanje</v>
      </c>
      <c r="AX55" s="240">
        <f t="shared" si="35"/>
        <v>69</v>
      </c>
      <c r="AY55" s="239" t="str">
        <f t="shared" ref="AY55:AY60" si="794">$E55</f>
        <v>Kaapverdië</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Spanje</v>
      </c>
      <c r="BK55" s="240">
        <f t="shared" si="38"/>
        <v>69</v>
      </c>
      <c r="BL55" s="239" t="str">
        <f t="shared" ref="BL55:BL60" si="798">$E55</f>
        <v>Kaapverdië</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Spanje</v>
      </c>
      <c r="BX55" s="240">
        <f t="shared" si="41"/>
        <v>69</v>
      </c>
      <c r="BY55" s="239" t="str">
        <f t="shared" ref="BY55:BY60" si="802">$E55</f>
        <v>Kaapverdië</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Spanje</v>
      </c>
      <c r="CK55" s="240">
        <f t="shared" si="44"/>
        <v>69</v>
      </c>
      <c r="CL55" s="239" t="str">
        <f t="shared" ref="CL55:CL60" si="806">$E55</f>
        <v>Kaapverdië</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Spanje</v>
      </c>
      <c r="CX55" s="240">
        <f t="shared" si="47"/>
        <v>69</v>
      </c>
      <c r="CY55" s="239" t="str">
        <f t="shared" ref="CY55:CY60" si="810">$E55</f>
        <v>Kaapverdië</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Spanje</v>
      </c>
      <c r="DK55" s="240">
        <f t="shared" si="50"/>
        <v>69</v>
      </c>
      <c r="DL55" s="239" t="str">
        <f t="shared" ref="DL55:DL60" si="814">$E55</f>
        <v>Kaapverdië</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Spanje</v>
      </c>
      <c r="DX55" s="240">
        <f t="shared" si="53"/>
        <v>69</v>
      </c>
      <c r="DY55" s="239" t="str">
        <f t="shared" ref="DY55:DY60" si="818">$E55</f>
        <v>Kaapverdië</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Spanje</v>
      </c>
      <c r="EK55" s="240">
        <f t="shared" si="56"/>
        <v>69</v>
      </c>
      <c r="EL55" s="239" t="str">
        <f t="shared" ref="EL55:EL60" si="822">$E55</f>
        <v>Kaapverdië</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Spanje</v>
      </c>
      <c r="EX55" s="240">
        <f t="shared" si="59"/>
        <v>69</v>
      </c>
      <c r="EY55" s="239" t="str">
        <f t="shared" ref="EY55:EY60" si="826">$E55</f>
        <v>Kaapverdië</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Spanje</v>
      </c>
      <c r="FK55" s="240">
        <f t="shared" si="62"/>
        <v>69</v>
      </c>
      <c r="FL55" s="239" t="str">
        <f t="shared" ref="FL55:FL60" si="830">$E55</f>
        <v>Kaapverdië</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Spanje</v>
      </c>
      <c r="FX55" s="240">
        <f t="shared" si="65"/>
        <v>69</v>
      </c>
      <c r="FY55" s="239" t="str">
        <f t="shared" ref="FY55:FY60" si="834">$E55</f>
        <v>Kaapverdië</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Spanje</v>
      </c>
      <c r="GK55" s="240">
        <f t="shared" si="68"/>
        <v>69</v>
      </c>
      <c r="GL55" s="239" t="str">
        <f t="shared" ref="GL55:GL60" si="838">$E55</f>
        <v>Kaapverdië</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Spanje</v>
      </c>
      <c r="GX55" s="240">
        <f t="shared" si="71"/>
        <v>69</v>
      </c>
      <c r="GY55" s="239" t="str">
        <f t="shared" ref="GY55:GY60" si="842">$E55</f>
        <v>Kaapverdië</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Spanje</v>
      </c>
      <c r="HK55" s="240">
        <f t="shared" si="74"/>
        <v>69</v>
      </c>
      <c r="HL55" s="239" t="str">
        <f t="shared" ref="HL55:HL60" si="846">$E55</f>
        <v>Kaapverdië</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Spanje</v>
      </c>
      <c r="HX55" s="240">
        <f t="shared" si="77"/>
        <v>69</v>
      </c>
      <c r="HY55" s="239" t="str">
        <f t="shared" ref="HY55:HY60" si="850">$E55</f>
        <v>Kaapverdië</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Spanje</v>
      </c>
      <c r="IK55" s="240">
        <f t="shared" si="80"/>
        <v>69</v>
      </c>
      <c r="IL55" s="239" t="str">
        <f t="shared" ref="IL55:IL60" si="854">$E55</f>
        <v>Kaapverdië</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Spanje</v>
      </c>
      <c r="IX55" s="240">
        <f t="shared" si="83"/>
        <v>69</v>
      </c>
      <c r="IY55" s="239" t="str">
        <f t="shared" ref="IY55:IY60" si="858">$E55</f>
        <v>Kaapverdië</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Spanje</v>
      </c>
      <c r="JK55" s="240">
        <f t="shared" si="86"/>
        <v>69</v>
      </c>
      <c r="JL55" s="239" t="str">
        <f t="shared" ref="JL55:JL60" si="862">$E55</f>
        <v>Kaapverdië</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Spanje</v>
      </c>
      <c r="JX55" s="240">
        <f t="shared" si="89"/>
        <v>69</v>
      </c>
      <c r="JY55" s="239" t="str">
        <f t="shared" ref="JY55:JY60" si="866">$E55</f>
        <v>Kaapverdië</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Spanje</v>
      </c>
      <c r="KK55" s="240">
        <f t="shared" si="92"/>
        <v>69</v>
      </c>
      <c r="KL55" s="239" t="str">
        <f t="shared" ref="KL55:KL60" si="870">$E55</f>
        <v>Kaapverdië</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Spanje</v>
      </c>
      <c r="KX55" s="240">
        <f t="shared" si="95"/>
        <v>69</v>
      </c>
      <c r="KY55" s="239" t="str">
        <f t="shared" ref="KY55:KY60" si="874">$E55</f>
        <v>Kaapverdië</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Spanje</v>
      </c>
      <c r="LK55" s="240">
        <f t="shared" si="98"/>
        <v>69</v>
      </c>
      <c r="LL55" s="239" t="str">
        <f t="shared" ref="LL55:LL60" si="878">$E55</f>
        <v>Kaapverdië</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Spanje</v>
      </c>
      <c r="LX55" s="240">
        <f t="shared" si="101"/>
        <v>69</v>
      </c>
      <c r="LY55" s="239" t="str">
        <f t="shared" ref="LY55:LY60" si="882">$E55</f>
        <v>Kaapverdië</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468"/>
        <v>61</v>
      </c>
      <c r="J56" s="239" t="str">
        <f t="shared" si="781"/>
        <v>Saoedi-Arabië</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Saoedi-Arabië</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Saoedi-Arabië</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Saoedi-Arabië</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Saoedi-Arabië</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Saoedi-Arabië</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Saoedi-Arabië</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Saoedi-Arabië</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Saoedi-Arabië</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Saoedi-Arabië</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Saoedi-Arabië</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Saoedi-Arabië</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Saoedi-Arabië</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Saoedi-Arabië</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Saoedi-Arabië</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Saoedi-Arabië</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Saoedi-Arabië</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Saoedi-Arabië</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Saoedi-Arabië</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Saoedi-Arabië</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Saoedi-Arabië</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Saoedi-Arabië</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Saoedi-Arabië</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Saoedi-Arabië</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Saoedi-Arabië</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Saoedi-Arabië</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468"/>
        <v>2</v>
      </c>
      <c r="J57" s="239" t="str">
        <f t="shared" si="781"/>
        <v>Spanje</v>
      </c>
      <c r="K57" s="240">
        <f t="shared" si="26"/>
        <v>61</v>
      </c>
      <c r="L57" s="239" t="str">
        <f t="shared" si="782"/>
        <v>Saoedi-Arabië</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Spanje</v>
      </c>
      <c r="X57" s="240">
        <f t="shared" si="29"/>
        <v>61</v>
      </c>
      <c r="Y57" s="239" t="str">
        <f t="shared" si="786"/>
        <v>Saoedi-Arabië</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Spanje</v>
      </c>
      <c r="AK57" s="240">
        <f t="shared" si="32"/>
        <v>61</v>
      </c>
      <c r="AL57" s="239" t="str">
        <f t="shared" si="790"/>
        <v>Saoedi-Arabië</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Spanje</v>
      </c>
      <c r="AX57" s="240">
        <f t="shared" si="35"/>
        <v>61</v>
      </c>
      <c r="AY57" s="239" t="str">
        <f t="shared" si="794"/>
        <v>Saoedi-Arabië</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Spanje</v>
      </c>
      <c r="BK57" s="240">
        <f t="shared" si="38"/>
        <v>61</v>
      </c>
      <c r="BL57" s="239" t="str">
        <f t="shared" si="798"/>
        <v>Saoedi-Arabië</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Spanje</v>
      </c>
      <c r="BX57" s="240">
        <f t="shared" si="41"/>
        <v>61</v>
      </c>
      <c r="BY57" s="239" t="str">
        <f t="shared" si="802"/>
        <v>Saoedi-Arabië</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Spanje</v>
      </c>
      <c r="CK57" s="240">
        <f t="shared" si="44"/>
        <v>61</v>
      </c>
      <c r="CL57" s="239" t="str">
        <f t="shared" si="806"/>
        <v>Saoedi-Arabië</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Spanje</v>
      </c>
      <c r="CX57" s="240">
        <f t="shared" si="47"/>
        <v>61</v>
      </c>
      <c r="CY57" s="239" t="str">
        <f t="shared" si="810"/>
        <v>Saoedi-Arabië</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Spanje</v>
      </c>
      <c r="DK57" s="240">
        <f t="shared" si="50"/>
        <v>61</v>
      </c>
      <c r="DL57" s="239" t="str">
        <f t="shared" si="814"/>
        <v>Saoedi-Arabië</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Spanje</v>
      </c>
      <c r="DX57" s="240">
        <f t="shared" si="53"/>
        <v>61</v>
      </c>
      <c r="DY57" s="239" t="str">
        <f t="shared" si="818"/>
        <v>Saoedi-Arabië</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Spanje</v>
      </c>
      <c r="EK57" s="240">
        <f t="shared" si="56"/>
        <v>61</v>
      </c>
      <c r="EL57" s="239" t="str">
        <f t="shared" si="822"/>
        <v>Saoedi-Arabië</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Spanje</v>
      </c>
      <c r="EX57" s="240">
        <f t="shared" si="59"/>
        <v>61</v>
      </c>
      <c r="EY57" s="239" t="str">
        <f t="shared" si="826"/>
        <v>Saoedi-Arabië</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Spanje</v>
      </c>
      <c r="FK57" s="240">
        <f t="shared" si="62"/>
        <v>61</v>
      </c>
      <c r="FL57" s="239" t="str">
        <f t="shared" si="830"/>
        <v>Saoedi-Arabië</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Spanje</v>
      </c>
      <c r="FX57" s="240">
        <f t="shared" si="65"/>
        <v>61</v>
      </c>
      <c r="FY57" s="239" t="str">
        <f t="shared" si="834"/>
        <v>Saoedi-Arabië</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Spanje</v>
      </c>
      <c r="GK57" s="240">
        <f t="shared" si="68"/>
        <v>61</v>
      </c>
      <c r="GL57" s="239" t="str">
        <f t="shared" si="838"/>
        <v>Saoedi-Arabië</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Spanje</v>
      </c>
      <c r="GX57" s="240">
        <f t="shared" si="71"/>
        <v>61</v>
      </c>
      <c r="GY57" s="239" t="str">
        <f t="shared" si="842"/>
        <v>Saoedi-Arabië</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Spanje</v>
      </c>
      <c r="HK57" s="240">
        <f t="shared" si="74"/>
        <v>61</v>
      </c>
      <c r="HL57" s="239" t="str">
        <f t="shared" si="846"/>
        <v>Saoedi-Arabië</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Spanje</v>
      </c>
      <c r="HX57" s="240">
        <f t="shared" si="77"/>
        <v>61</v>
      </c>
      <c r="HY57" s="239" t="str">
        <f t="shared" si="850"/>
        <v>Saoedi-Arabië</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Spanje</v>
      </c>
      <c r="IK57" s="240">
        <f t="shared" si="80"/>
        <v>61</v>
      </c>
      <c r="IL57" s="239" t="str">
        <f t="shared" si="854"/>
        <v>Saoedi-Arabië</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Spanje</v>
      </c>
      <c r="IX57" s="240">
        <f t="shared" si="83"/>
        <v>61</v>
      </c>
      <c r="IY57" s="239" t="str">
        <f t="shared" si="858"/>
        <v>Saoedi-Arabië</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Spanje</v>
      </c>
      <c r="JK57" s="240">
        <f t="shared" si="86"/>
        <v>61</v>
      </c>
      <c r="JL57" s="239" t="str">
        <f t="shared" si="862"/>
        <v>Saoedi-Arabië</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Spanje</v>
      </c>
      <c r="JX57" s="240">
        <f t="shared" si="89"/>
        <v>61</v>
      </c>
      <c r="JY57" s="239" t="str">
        <f t="shared" si="866"/>
        <v>Saoedi-Arabië</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Spanje</v>
      </c>
      <c r="KK57" s="240">
        <f t="shared" si="92"/>
        <v>61</v>
      </c>
      <c r="KL57" s="239" t="str">
        <f t="shared" si="870"/>
        <v>Saoedi-Arabië</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Spanje</v>
      </c>
      <c r="KX57" s="240">
        <f t="shared" si="95"/>
        <v>61</v>
      </c>
      <c r="KY57" s="239" t="str">
        <f t="shared" si="874"/>
        <v>Saoedi-Arabië</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Spanje</v>
      </c>
      <c r="LK57" s="240">
        <f t="shared" si="98"/>
        <v>61</v>
      </c>
      <c r="LL57" s="239" t="str">
        <f t="shared" si="878"/>
        <v>Saoedi-Arabië</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Spanje</v>
      </c>
      <c r="LX57" s="240">
        <f t="shared" si="101"/>
        <v>61</v>
      </c>
      <c r="LY57" s="239" t="str">
        <f t="shared" si="882"/>
        <v>Saoedi-Arabië</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468"/>
        <v>17</v>
      </c>
      <c r="J58" s="239" t="str">
        <f t="shared" si="781"/>
        <v>Uruguay</v>
      </c>
      <c r="K58" s="240">
        <f t="shared" si="26"/>
        <v>69</v>
      </c>
      <c r="L58" s="239" t="str">
        <f t="shared" si="782"/>
        <v>Kaapverdië</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Kaapverdië</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Kaapverdië</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Kaapverdië</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Kaapverdië</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Kaapverdië</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Kaapverdië</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Kaapverdië</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Kaapverdië</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Kaapverdië</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Kaapverdië</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Kaapverdië</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Kaapverdië</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Kaapverdië</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Kaapverdië</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Kaapverdië</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Kaapverdië</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Kaapverdië</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Kaapverdië</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Kaapverdië</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Kaapverdië</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Kaapverdië</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Kaapverdië</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Kaapverdië</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Kaapverdië</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Kaapverdië</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468"/>
        <v>69</v>
      </c>
      <c r="J59" s="239" t="str">
        <f t="shared" si="781"/>
        <v>Kaapverdië</v>
      </c>
      <c r="K59" s="240">
        <f t="shared" si="26"/>
        <v>61</v>
      </c>
      <c r="L59" s="239" t="str">
        <f t="shared" si="782"/>
        <v>Saoedi-Arabië</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Kaapverdië</v>
      </c>
      <c r="X59" s="240">
        <f t="shared" si="29"/>
        <v>61</v>
      </c>
      <c r="Y59" s="239" t="str">
        <f t="shared" si="786"/>
        <v>Saoedi-Arabië</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Kaapverdië</v>
      </c>
      <c r="AK59" s="240">
        <f t="shared" si="32"/>
        <v>61</v>
      </c>
      <c r="AL59" s="239" t="str">
        <f t="shared" si="790"/>
        <v>Saoedi-Arabië</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Kaapverdië</v>
      </c>
      <c r="AX59" s="240">
        <f t="shared" si="35"/>
        <v>61</v>
      </c>
      <c r="AY59" s="239" t="str">
        <f t="shared" si="794"/>
        <v>Saoedi-Arabië</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Kaapverdië</v>
      </c>
      <c r="BK59" s="240">
        <f t="shared" si="38"/>
        <v>61</v>
      </c>
      <c r="BL59" s="239" t="str">
        <f t="shared" si="798"/>
        <v>Saoedi-Arabië</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Kaapverdië</v>
      </c>
      <c r="BX59" s="240">
        <f t="shared" si="41"/>
        <v>61</v>
      </c>
      <c r="BY59" s="239" t="str">
        <f t="shared" si="802"/>
        <v>Saoedi-Arabië</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Kaapverdië</v>
      </c>
      <c r="CK59" s="240">
        <f t="shared" si="44"/>
        <v>61</v>
      </c>
      <c r="CL59" s="239" t="str">
        <f t="shared" si="806"/>
        <v>Saoedi-Arabië</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Kaapverdië</v>
      </c>
      <c r="CX59" s="240">
        <f t="shared" si="47"/>
        <v>61</v>
      </c>
      <c r="CY59" s="239" t="str">
        <f t="shared" si="810"/>
        <v>Saoedi-Arabië</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Kaapverdië</v>
      </c>
      <c r="DK59" s="240">
        <f t="shared" si="50"/>
        <v>61</v>
      </c>
      <c r="DL59" s="239" t="str">
        <f t="shared" si="814"/>
        <v>Saoedi-Arabië</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Kaapverdië</v>
      </c>
      <c r="DX59" s="240">
        <f t="shared" si="53"/>
        <v>61</v>
      </c>
      <c r="DY59" s="239" t="str">
        <f t="shared" si="818"/>
        <v>Saoedi-Arabië</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Kaapverdië</v>
      </c>
      <c r="EK59" s="240">
        <f t="shared" si="56"/>
        <v>61</v>
      </c>
      <c r="EL59" s="239" t="str">
        <f t="shared" si="822"/>
        <v>Saoedi-Arabië</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Kaapverdië</v>
      </c>
      <c r="EX59" s="240">
        <f t="shared" si="59"/>
        <v>61</v>
      </c>
      <c r="EY59" s="239" t="str">
        <f t="shared" si="826"/>
        <v>Saoedi-Arabië</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Kaapverdië</v>
      </c>
      <c r="FK59" s="240">
        <f t="shared" si="62"/>
        <v>61</v>
      </c>
      <c r="FL59" s="239" t="str">
        <f t="shared" si="830"/>
        <v>Saoedi-Arabië</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Kaapverdië</v>
      </c>
      <c r="FX59" s="240">
        <f t="shared" si="65"/>
        <v>61</v>
      </c>
      <c r="FY59" s="239" t="str">
        <f t="shared" si="834"/>
        <v>Saoedi-Arabië</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Kaapverdië</v>
      </c>
      <c r="GK59" s="240">
        <f t="shared" si="68"/>
        <v>61</v>
      </c>
      <c r="GL59" s="239" t="str">
        <f t="shared" si="838"/>
        <v>Saoedi-Arabië</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Kaapverdië</v>
      </c>
      <c r="GX59" s="240">
        <f t="shared" si="71"/>
        <v>61</v>
      </c>
      <c r="GY59" s="239" t="str">
        <f t="shared" si="842"/>
        <v>Saoedi-Arabië</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Kaapverdië</v>
      </c>
      <c r="HK59" s="240">
        <f t="shared" si="74"/>
        <v>61</v>
      </c>
      <c r="HL59" s="239" t="str">
        <f t="shared" si="846"/>
        <v>Saoedi-Arabië</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Kaapverdië</v>
      </c>
      <c r="HX59" s="240">
        <f t="shared" si="77"/>
        <v>61</v>
      </c>
      <c r="HY59" s="239" t="str">
        <f t="shared" si="850"/>
        <v>Saoedi-Arabië</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Kaapverdië</v>
      </c>
      <c r="IK59" s="240">
        <f t="shared" si="80"/>
        <v>61</v>
      </c>
      <c r="IL59" s="239" t="str">
        <f t="shared" si="854"/>
        <v>Saoedi-Arabië</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Kaapverdië</v>
      </c>
      <c r="IX59" s="240">
        <f t="shared" si="83"/>
        <v>61</v>
      </c>
      <c r="IY59" s="239" t="str">
        <f t="shared" si="858"/>
        <v>Saoedi-Arabië</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Kaapverdië</v>
      </c>
      <c r="JK59" s="240">
        <f t="shared" si="86"/>
        <v>61</v>
      </c>
      <c r="JL59" s="239" t="str">
        <f t="shared" si="862"/>
        <v>Saoedi-Arabië</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Kaapverdië</v>
      </c>
      <c r="JX59" s="240">
        <f t="shared" si="89"/>
        <v>61</v>
      </c>
      <c r="JY59" s="239" t="str">
        <f t="shared" si="866"/>
        <v>Saoedi-Arabië</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Kaapverdië</v>
      </c>
      <c r="KK59" s="240">
        <f t="shared" si="92"/>
        <v>61</v>
      </c>
      <c r="KL59" s="239" t="str">
        <f t="shared" si="870"/>
        <v>Saoedi-Arabië</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Kaapverdië</v>
      </c>
      <c r="KX59" s="240">
        <f t="shared" si="95"/>
        <v>61</v>
      </c>
      <c r="KY59" s="239" t="str">
        <f t="shared" si="874"/>
        <v>Saoedi-Arabië</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Kaapverdië</v>
      </c>
      <c r="LK59" s="240">
        <f t="shared" si="98"/>
        <v>61</v>
      </c>
      <c r="LL59" s="239" t="str">
        <f t="shared" si="878"/>
        <v>Saoedi-Arabië</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Kaapverdië</v>
      </c>
      <c r="LX59" s="240">
        <f t="shared" si="101"/>
        <v>61</v>
      </c>
      <c r="LY59" s="239" t="str">
        <f t="shared" si="882"/>
        <v>Saoedi-Arabië</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468"/>
        <v>17</v>
      </c>
      <c r="J60" s="239" t="str">
        <f t="shared" si="781"/>
        <v>Uruguay</v>
      </c>
      <c r="K60" s="240">
        <f t="shared" si="26"/>
        <v>2</v>
      </c>
      <c r="L60" s="239" t="str">
        <f t="shared" si="782"/>
        <v>Spanje</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Spanje</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Spanje</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Spanje</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Spanje</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Spanje</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Spanje</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Spanje</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Spanje</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Spanje</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Spanje</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Spanje</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Spanje</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Spanje</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Spanje</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Spanje</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Spanje</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Spanje</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Spanje</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Spanje</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Spanje</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Spanje</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Spanje</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Spanje</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Spanje</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Spanje</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468"/>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468"/>
        <v>1</v>
      </c>
      <c r="J62" s="239" t="str">
        <f t="shared" ref="J62:J67" si="885">$C62</f>
        <v>Frankrijk</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Frankrijk</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Frankrijk</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Frankrijk</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Frankrijk</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Frankrijk</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Frankrijk</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Frankrijk</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Frankrijk</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Frankrijk</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Frankrijk</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Frankrijk</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Frankrijk</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Frankrijk</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Frankrijk</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Frankrijk</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Frankrijk</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Frankrijk</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Frankrijk</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Frankrijk</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Frankrijk</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Frankrijk</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Frankrijk</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Frankrijk</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Frankrijk</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Frankrijk</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468"/>
        <v>57</v>
      </c>
      <c r="J63" s="239" t="str">
        <f t="shared" si="885"/>
        <v>Irak</v>
      </c>
      <c r="K63" s="240">
        <f t="shared" si="26"/>
        <v>31</v>
      </c>
      <c r="L63" s="239" t="str">
        <f t="shared" si="886"/>
        <v>Noorwegen</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Irak</v>
      </c>
      <c r="X63" s="240">
        <f t="shared" si="29"/>
        <v>31</v>
      </c>
      <c r="Y63" s="239" t="str">
        <f t="shared" si="890"/>
        <v>Noorwegen</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Irak</v>
      </c>
      <c r="AK63" s="240">
        <f t="shared" si="32"/>
        <v>31</v>
      </c>
      <c r="AL63" s="239" t="str">
        <f t="shared" si="894"/>
        <v>Noorwegen</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Irak</v>
      </c>
      <c r="AX63" s="240">
        <f t="shared" si="35"/>
        <v>31</v>
      </c>
      <c r="AY63" s="239" t="str">
        <f t="shared" si="898"/>
        <v>Noorwegen</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Irak</v>
      </c>
      <c r="BK63" s="240">
        <f t="shared" si="38"/>
        <v>31</v>
      </c>
      <c r="BL63" s="239" t="str">
        <f t="shared" si="902"/>
        <v>Noorwegen</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Irak</v>
      </c>
      <c r="BX63" s="240">
        <f t="shared" si="41"/>
        <v>31</v>
      </c>
      <c r="BY63" s="239" t="str">
        <f t="shared" si="906"/>
        <v>Noorwegen</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Irak</v>
      </c>
      <c r="CK63" s="240">
        <f t="shared" si="44"/>
        <v>31</v>
      </c>
      <c r="CL63" s="239" t="str">
        <f t="shared" si="910"/>
        <v>Noorwegen</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Irak</v>
      </c>
      <c r="CX63" s="240">
        <f t="shared" si="47"/>
        <v>31</v>
      </c>
      <c r="CY63" s="239" t="str">
        <f t="shared" si="914"/>
        <v>Noorwegen</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Irak</v>
      </c>
      <c r="DK63" s="240">
        <f t="shared" si="50"/>
        <v>31</v>
      </c>
      <c r="DL63" s="239" t="str">
        <f t="shared" si="918"/>
        <v>Noorwegen</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Irak</v>
      </c>
      <c r="DX63" s="240">
        <f t="shared" si="53"/>
        <v>31</v>
      </c>
      <c r="DY63" s="239" t="str">
        <f t="shared" si="922"/>
        <v>Noorwegen</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Irak</v>
      </c>
      <c r="EK63" s="240">
        <f t="shared" si="56"/>
        <v>31</v>
      </c>
      <c r="EL63" s="239" t="str">
        <f t="shared" si="926"/>
        <v>Noorwegen</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Irak</v>
      </c>
      <c r="EX63" s="240">
        <f t="shared" si="59"/>
        <v>31</v>
      </c>
      <c r="EY63" s="239" t="str">
        <f t="shared" si="930"/>
        <v>Noorwegen</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Irak</v>
      </c>
      <c r="FK63" s="240">
        <f t="shared" si="62"/>
        <v>31</v>
      </c>
      <c r="FL63" s="239" t="str">
        <f t="shared" si="934"/>
        <v>Noorwegen</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Irak</v>
      </c>
      <c r="FX63" s="240">
        <f t="shared" si="65"/>
        <v>31</v>
      </c>
      <c r="FY63" s="239" t="str">
        <f t="shared" si="938"/>
        <v>Noorwegen</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Irak</v>
      </c>
      <c r="GK63" s="240">
        <f t="shared" si="68"/>
        <v>31</v>
      </c>
      <c r="GL63" s="239" t="str">
        <f t="shared" si="942"/>
        <v>Noorwegen</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Irak</v>
      </c>
      <c r="GX63" s="240">
        <f t="shared" si="71"/>
        <v>31</v>
      </c>
      <c r="GY63" s="239" t="str">
        <f t="shared" si="946"/>
        <v>Noorwegen</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Irak</v>
      </c>
      <c r="HK63" s="240">
        <f t="shared" si="74"/>
        <v>31</v>
      </c>
      <c r="HL63" s="239" t="str">
        <f t="shared" si="950"/>
        <v>Noorwegen</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Irak</v>
      </c>
      <c r="HX63" s="240">
        <f t="shared" si="77"/>
        <v>31</v>
      </c>
      <c r="HY63" s="239" t="str">
        <f t="shared" si="954"/>
        <v>Noorwegen</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Irak</v>
      </c>
      <c r="IK63" s="240">
        <f t="shared" si="80"/>
        <v>31</v>
      </c>
      <c r="IL63" s="239" t="str">
        <f t="shared" si="958"/>
        <v>Noorwegen</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Irak</v>
      </c>
      <c r="IX63" s="240">
        <f t="shared" si="83"/>
        <v>31</v>
      </c>
      <c r="IY63" s="239" t="str">
        <f t="shared" si="962"/>
        <v>Noorwegen</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Irak</v>
      </c>
      <c r="JK63" s="240">
        <f t="shared" si="86"/>
        <v>31</v>
      </c>
      <c r="JL63" s="239" t="str">
        <f t="shared" si="966"/>
        <v>Noorwegen</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Irak</v>
      </c>
      <c r="JX63" s="240">
        <f t="shared" si="89"/>
        <v>31</v>
      </c>
      <c r="JY63" s="239" t="str">
        <f t="shared" si="970"/>
        <v>Noorwegen</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Irak</v>
      </c>
      <c r="KK63" s="240">
        <f t="shared" si="92"/>
        <v>31</v>
      </c>
      <c r="KL63" s="239" t="str">
        <f t="shared" si="974"/>
        <v>Noorwegen</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Irak</v>
      </c>
      <c r="KX63" s="240">
        <f t="shared" si="95"/>
        <v>31</v>
      </c>
      <c r="KY63" s="239" t="str">
        <f t="shared" si="978"/>
        <v>Noorwegen</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Irak</v>
      </c>
      <c r="LK63" s="240">
        <f t="shared" si="98"/>
        <v>31</v>
      </c>
      <c r="LL63" s="239" t="str">
        <f t="shared" si="982"/>
        <v>Noorwegen</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Irak</v>
      </c>
      <c r="LX63" s="240">
        <f t="shared" si="101"/>
        <v>31</v>
      </c>
      <c r="LY63" s="239" t="str">
        <f t="shared" si="986"/>
        <v>Noorwegen</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468"/>
        <v>1</v>
      </c>
      <c r="J64" s="239" t="str">
        <f t="shared" si="885"/>
        <v>Frankrijk</v>
      </c>
      <c r="K64" s="240">
        <f t="shared" si="26"/>
        <v>57</v>
      </c>
      <c r="L64" s="239" t="str">
        <f t="shared" si="886"/>
        <v>Irak</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Frankrijk</v>
      </c>
      <c r="X64" s="240">
        <f t="shared" si="29"/>
        <v>57</v>
      </c>
      <c r="Y64" s="239" t="str">
        <f t="shared" si="890"/>
        <v>Irak</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Frankrijk</v>
      </c>
      <c r="AK64" s="240">
        <f t="shared" si="32"/>
        <v>57</v>
      </c>
      <c r="AL64" s="239" t="str">
        <f t="shared" si="894"/>
        <v>Irak</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Frankrijk</v>
      </c>
      <c r="AX64" s="240">
        <f t="shared" si="35"/>
        <v>57</v>
      </c>
      <c r="AY64" s="239" t="str">
        <f t="shared" si="898"/>
        <v>Irak</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Frankrijk</v>
      </c>
      <c r="BK64" s="240">
        <f t="shared" si="38"/>
        <v>57</v>
      </c>
      <c r="BL64" s="239" t="str">
        <f t="shared" si="902"/>
        <v>Irak</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Frankrijk</v>
      </c>
      <c r="BX64" s="240">
        <f t="shared" si="41"/>
        <v>57</v>
      </c>
      <c r="BY64" s="239" t="str">
        <f t="shared" si="906"/>
        <v>Irak</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Frankrijk</v>
      </c>
      <c r="CK64" s="240">
        <f t="shared" si="44"/>
        <v>57</v>
      </c>
      <c r="CL64" s="239" t="str">
        <f t="shared" si="910"/>
        <v>Irak</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Frankrijk</v>
      </c>
      <c r="CX64" s="240">
        <f t="shared" si="47"/>
        <v>57</v>
      </c>
      <c r="CY64" s="239" t="str">
        <f t="shared" si="914"/>
        <v>Irak</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Frankrijk</v>
      </c>
      <c r="DK64" s="240">
        <f t="shared" si="50"/>
        <v>57</v>
      </c>
      <c r="DL64" s="239" t="str">
        <f t="shared" si="918"/>
        <v>Irak</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Frankrijk</v>
      </c>
      <c r="DX64" s="240">
        <f t="shared" si="53"/>
        <v>57</v>
      </c>
      <c r="DY64" s="239" t="str">
        <f t="shared" si="922"/>
        <v>Irak</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Frankrijk</v>
      </c>
      <c r="EK64" s="240">
        <f t="shared" si="56"/>
        <v>57</v>
      </c>
      <c r="EL64" s="239" t="str">
        <f t="shared" si="926"/>
        <v>Irak</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Frankrijk</v>
      </c>
      <c r="EX64" s="240">
        <f t="shared" si="59"/>
        <v>57</v>
      </c>
      <c r="EY64" s="239" t="str">
        <f t="shared" si="930"/>
        <v>Irak</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Frankrijk</v>
      </c>
      <c r="FK64" s="240">
        <f t="shared" si="62"/>
        <v>57</v>
      </c>
      <c r="FL64" s="239" t="str">
        <f t="shared" si="934"/>
        <v>Irak</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Frankrijk</v>
      </c>
      <c r="FX64" s="240">
        <f t="shared" si="65"/>
        <v>57</v>
      </c>
      <c r="FY64" s="239" t="str">
        <f t="shared" si="938"/>
        <v>Irak</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Frankrijk</v>
      </c>
      <c r="GK64" s="240">
        <f t="shared" si="68"/>
        <v>57</v>
      </c>
      <c r="GL64" s="239" t="str">
        <f t="shared" si="942"/>
        <v>Irak</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Frankrijk</v>
      </c>
      <c r="GX64" s="240">
        <f t="shared" si="71"/>
        <v>57</v>
      </c>
      <c r="GY64" s="239" t="str">
        <f t="shared" si="946"/>
        <v>Irak</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Frankrijk</v>
      </c>
      <c r="HK64" s="240">
        <f t="shared" si="74"/>
        <v>57</v>
      </c>
      <c r="HL64" s="239" t="str">
        <f t="shared" si="950"/>
        <v>Irak</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Frankrijk</v>
      </c>
      <c r="HX64" s="240">
        <f t="shared" si="77"/>
        <v>57</v>
      </c>
      <c r="HY64" s="239" t="str">
        <f t="shared" si="954"/>
        <v>Irak</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Frankrijk</v>
      </c>
      <c r="IK64" s="240">
        <f t="shared" si="80"/>
        <v>57</v>
      </c>
      <c r="IL64" s="239" t="str">
        <f t="shared" si="958"/>
        <v>Irak</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Frankrijk</v>
      </c>
      <c r="IX64" s="240">
        <f t="shared" si="83"/>
        <v>57</v>
      </c>
      <c r="IY64" s="239" t="str">
        <f t="shared" si="962"/>
        <v>Irak</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Frankrijk</v>
      </c>
      <c r="JK64" s="240">
        <f t="shared" si="86"/>
        <v>57</v>
      </c>
      <c r="JL64" s="239" t="str">
        <f t="shared" si="966"/>
        <v>Irak</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Frankrijk</v>
      </c>
      <c r="JX64" s="240">
        <f t="shared" si="89"/>
        <v>57</v>
      </c>
      <c r="JY64" s="239" t="str">
        <f t="shared" si="970"/>
        <v>Irak</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Frankrijk</v>
      </c>
      <c r="KK64" s="240">
        <f t="shared" si="92"/>
        <v>57</v>
      </c>
      <c r="KL64" s="239" t="str">
        <f t="shared" si="974"/>
        <v>Irak</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Frankrijk</v>
      </c>
      <c r="KX64" s="240">
        <f t="shared" si="95"/>
        <v>57</v>
      </c>
      <c r="KY64" s="239" t="str">
        <f t="shared" si="978"/>
        <v>Irak</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Frankrijk</v>
      </c>
      <c r="LK64" s="240">
        <f t="shared" si="98"/>
        <v>57</v>
      </c>
      <c r="LL64" s="239" t="str">
        <f t="shared" si="982"/>
        <v>Irak</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Frankrijk</v>
      </c>
      <c r="LX64" s="240">
        <f t="shared" si="101"/>
        <v>57</v>
      </c>
      <c r="LY64" s="239" t="str">
        <f t="shared" si="986"/>
        <v>Irak</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468"/>
        <v>31</v>
      </c>
      <c r="J65" s="239" t="str">
        <f t="shared" si="885"/>
        <v>Noorwegen</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Noorwegen</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Noorwegen</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Noorwegen</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Noorwegen</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Noorwegen</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Noorwegen</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Noorwegen</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Noorwegen</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Noorwegen</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Noorwegen</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Noorwegen</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Noorwegen</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Noorwegen</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Noorwegen</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Noorwegen</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Noorwegen</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Noorwegen</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Noorwegen</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Noorwegen</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Noorwegen</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Noorwegen</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Noorwegen</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Noorwegen</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Noorwegen</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Noorwegen</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468"/>
        <v>31</v>
      </c>
      <c r="J66" s="239" t="str">
        <f t="shared" si="885"/>
        <v>Noorwegen</v>
      </c>
      <c r="K66" s="240">
        <f t="shared" si="26"/>
        <v>1</v>
      </c>
      <c r="L66" s="239" t="str">
        <f t="shared" si="886"/>
        <v>Frankrijk</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Noorwegen</v>
      </c>
      <c r="X66" s="240">
        <f t="shared" si="29"/>
        <v>1</v>
      </c>
      <c r="Y66" s="239" t="str">
        <f t="shared" si="890"/>
        <v>Frankrijk</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Noorwegen</v>
      </c>
      <c r="AK66" s="240">
        <f t="shared" si="32"/>
        <v>1</v>
      </c>
      <c r="AL66" s="239" t="str">
        <f t="shared" si="894"/>
        <v>Frankrijk</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Noorwegen</v>
      </c>
      <c r="AX66" s="240">
        <f t="shared" si="35"/>
        <v>1</v>
      </c>
      <c r="AY66" s="239" t="str">
        <f t="shared" si="898"/>
        <v>Frankrijk</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Noorwegen</v>
      </c>
      <c r="BK66" s="240">
        <f t="shared" si="38"/>
        <v>1</v>
      </c>
      <c r="BL66" s="239" t="str">
        <f t="shared" si="902"/>
        <v>Frankrijk</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Noorwegen</v>
      </c>
      <c r="BX66" s="240">
        <f t="shared" si="41"/>
        <v>1</v>
      </c>
      <c r="BY66" s="239" t="str">
        <f t="shared" si="906"/>
        <v>Frankrijk</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Noorwegen</v>
      </c>
      <c r="CK66" s="240">
        <f t="shared" si="44"/>
        <v>1</v>
      </c>
      <c r="CL66" s="239" t="str">
        <f t="shared" si="910"/>
        <v>Frankrijk</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Noorwegen</v>
      </c>
      <c r="CX66" s="240">
        <f t="shared" si="47"/>
        <v>1</v>
      </c>
      <c r="CY66" s="239" t="str">
        <f t="shared" si="914"/>
        <v>Frankrijk</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Noorwegen</v>
      </c>
      <c r="DK66" s="240">
        <f t="shared" si="50"/>
        <v>1</v>
      </c>
      <c r="DL66" s="239" t="str">
        <f t="shared" si="918"/>
        <v>Frankrijk</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Noorwegen</v>
      </c>
      <c r="DX66" s="240">
        <f t="shared" si="53"/>
        <v>1</v>
      </c>
      <c r="DY66" s="239" t="str">
        <f t="shared" si="922"/>
        <v>Frankrijk</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Noorwegen</v>
      </c>
      <c r="EK66" s="240">
        <f t="shared" si="56"/>
        <v>1</v>
      </c>
      <c r="EL66" s="239" t="str">
        <f t="shared" si="926"/>
        <v>Frankrijk</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Noorwegen</v>
      </c>
      <c r="EX66" s="240">
        <f t="shared" si="59"/>
        <v>1</v>
      </c>
      <c r="EY66" s="239" t="str">
        <f t="shared" si="930"/>
        <v>Frankrijk</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Noorwegen</v>
      </c>
      <c r="FK66" s="240">
        <f t="shared" si="62"/>
        <v>1</v>
      </c>
      <c r="FL66" s="239" t="str">
        <f t="shared" si="934"/>
        <v>Frankrijk</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Noorwegen</v>
      </c>
      <c r="FX66" s="240">
        <f t="shared" si="65"/>
        <v>1</v>
      </c>
      <c r="FY66" s="239" t="str">
        <f t="shared" si="938"/>
        <v>Frankrijk</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Noorwegen</v>
      </c>
      <c r="GK66" s="240">
        <f t="shared" si="68"/>
        <v>1</v>
      </c>
      <c r="GL66" s="239" t="str">
        <f t="shared" si="942"/>
        <v>Frankrijk</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Noorwegen</v>
      </c>
      <c r="GX66" s="240">
        <f t="shared" si="71"/>
        <v>1</v>
      </c>
      <c r="GY66" s="239" t="str">
        <f t="shared" si="946"/>
        <v>Frankrijk</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Noorwegen</v>
      </c>
      <c r="HK66" s="240">
        <f t="shared" si="74"/>
        <v>1</v>
      </c>
      <c r="HL66" s="239" t="str">
        <f t="shared" si="950"/>
        <v>Frankrijk</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Noorwegen</v>
      </c>
      <c r="HX66" s="240">
        <f t="shared" si="77"/>
        <v>1</v>
      </c>
      <c r="HY66" s="239" t="str">
        <f t="shared" si="954"/>
        <v>Frankrijk</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Noorwegen</v>
      </c>
      <c r="IK66" s="240">
        <f t="shared" si="80"/>
        <v>1</v>
      </c>
      <c r="IL66" s="239" t="str">
        <f t="shared" si="958"/>
        <v>Frankrijk</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Noorwegen</v>
      </c>
      <c r="IX66" s="240">
        <f t="shared" si="83"/>
        <v>1</v>
      </c>
      <c r="IY66" s="239" t="str">
        <f t="shared" si="962"/>
        <v>Frankrijk</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Noorwegen</v>
      </c>
      <c r="JK66" s="240">
        <f t="shared" si="86"/>
        <v>1</v>
      </c>
      <c r="JL66" s="239" t="str">
        <f t="shared" si="966"/>
        <v>Frankrijk</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Noorwegen</v>
      </c>
      <c r="JX66" s="240">
        <f t="shared" si="89"/>
        <v>1</v>
      </c>
      <c r="JY66" s="239" t="str">
        <f t="shared" si="970"/>
        <v>Frankrijk</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Noorwegen</v>
      </c>
      <c r="KK66" s="240">
        <f t="shared" si="92"/>
        <v>1</v>
      </c>
      <c r="KL66" s="239" t="str">
        <f t="shared" si="974"/>
        <v>Frankrijk</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Noorwegen</v>
      </c>
      <c r="KX66" s="240">
        <f t="shared" si="95"/>
        <v>1</v>
      </c>
      <c r="KY66" s="239" t="str">
        <f t="shared" si="978"/>
        <v>Frankrijk</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Noorwegen</v>
      </c>
      <c r="LK66" s="240">
        <f t="shared" si="98"/>
        <v>1</v>
      </c>
      <c r="LL66" s="239" t="str">
        <f t="shared" si="982"/>
        <v>Frankrijk</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Noorwegen</v>
      </c>
      <c r="LX66" s="240">
        <f t="shared" si="101"/>
        <v>1</v>
      </c>
      <c r="LY66" s="239" t="str">
        <f t="shared" si="986"/>
        <v>Frankrijk</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468"/>
        <v>14</v>
      </c>
      <c r="J67" s="239" t="str">
        <f t="shared" si="885"/>
        <v>Senegal</v>
      </c>
      <c r="K67" s="240">
        <f t="shared" si="26"/>
        <v>57</v>
      </c>
      <c r="L67" s="239" t="str">
        <f t="shared" si="886"/>
        <v>Irak</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Irak</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Irak</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Irak</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Irak</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Irak</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Irak</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Irak</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Irak</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Irak</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Irak</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Irak</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Irak</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Irak</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Irak</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Irak</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Irak</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Irak</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Irak</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Irak</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Irak</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Irak</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Irak</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Irak</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Irak</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Irak</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468"/>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si="468"/>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46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46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46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46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46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46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46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46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46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46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46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46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46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46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46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46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46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50"/>
      <c r="R89" s="250"/>
      <c r="S89" s="250"/>
      <c r="T89" s="264"/>
      <c r="V89" s="247" t="str">
        <f t="shared" ref="V89:V106" si="1405">$B89</f>
        <v>Zestiende finale</v>
      </c>
      <c r="W89" s="249"/>
      <c r="X89" s="249"/>
      <c r="Y89" s="250"/>
      <c r="Z89" s="279"/>
      <c r="AA89" s="280"/>
      <c r="AB89" s="251"/>
      <c r="AC89" s="263"/>
      <c r="AD89" s="250"/>
      <c r="AE89" s="250"/>
      <c r="AF89" s="250"/>
      <c r="AG89" s="264"/>
      <c r="AI89" s="247" t="str">
        <f t="shared" ref="AI89:AI106" si="1406">$B89</f>
        <v>Zestiende finale</v>
      </c>
      <c r="AJ89" s="249"/>
      <c r="AK89" s="249"/>
      <c r="AL89" s="250"/>
      <c r="AM89" s="279"/>
      <c r="AN89" s="280"/>
      <c r="AO89" s="251"/>
      <c r="AP89" s="263"/>
      <c r="AQ89" s="250"/>
      <c r="AR89" s="250"/>
      <c r="AS89" s="250"/>
      <c r="AT89" s="264"/>
      <c r="AV89" s="247" t="str">
        <f t="shared" ref="AV89:AV106" si="1407">$B89</f>
        <v>Zestiende finale</v>
      </c>
      <c r="AW89" s="249"/>
      <c r="AX89" s="249"/>
      <c r="AY89" s="250"/>
      <c r="AZ89" s="279"/>
      <c r="BA89" s="280"/>
      <c r="BB89" s="251"/>
      <c r="BC89" s="263"/>
      <c r="BD89" s="250"/>
      <c r="BE89" s="250"/>
      <c r="BF89" s="250"/>
      <c r="BG89" s="264"/>
      <c r="BI89" s="247" t="str">
        <f t="shared" ref="BI89:BI106" si="1408">$B89</f>
        <v>Zestiende finale</v>
      </c>
      <c r="BJ89" s="249"/>
      <c r="BK89" s="249"/>
      <c r="BL89" s="250"/>
      <c r="BM89" s="279"/>
      <c r="BN89" s="280"/>
      <c r="BO89" s="251"/>
      <c r="BP89" s="263"/>
      <c r="BQ89" s="250"/>
      <c r="BR89" s="250"/>
      <c r="BS89" s="250"/>
      <c r="BT89" s="264"/>
      <c r="BV89" s="247" t="str">
        <f t="shared" ref="BV89:BV106" si="1409">$B89</f>
        <v>Zestiende finale</v>
      </c>
      <c r="BW89" s="249"/>
      <c r="BX89" s="249"/>
      <c r="BY89" s="250"/>
      <c r="BZ89" s="279"/>
      <c r="CA89" s="280"/>
      <c r="CB89" s="251"/>
      <c r="CC89" s="263"/>
      <c r="CD89" s="250"/>
      <c r="CE89" s="250"/>
      <c r="CF89" s="250"/>
      <c r="CG89" s="264"/>
      <c r="CI89" s="247" t="str">
        <f t="shared" ref="CI89:CI106" si="1410">$B89</f>
        <v>Zestiende finale</v>
      </c>
      <c r="CJ89" s="249"/>
      <c r="CK89" s="249"/>
      <c r="CL89" s="250"/>
      <c r="CM89" s="279"/>
      <c r="CN89" s="280"/>
      <c r="CO89" s="251"/>
      <c r="CP89" s="263"/>
      <c r="CQ89" s="250"/>
      <c r="CR89" s="250"/>
      <c r="CS89" s="250"/>
      <c r="CT89" s="264"/>
      <c r="CV89" s="247" t="str">
        <f t="shared" ref="CV89:CV106" si="1411">$B89</f>
        <v>Zestiende finale</v>
      </c>
      <c r="CW89" s="249"/>
      <c r="CX89" s="249"/>
      <c r="CY89" s="250"/>
      <c r="CZ89" s="279"/>
      <c r="DA89" s="280"/>
      <c r="DB89" s="251"/>
      <c r="DC89" s="263"/>
      <c r="DD89" s="250"/>
      <c r="DE89" s="250"/>
      <c r="DF89" s="250"/>
      <c r="DG89" s="264"/>
      <c r="DI89" s="247" t="str">
        <f t="shared" ref="DI89:DI106" si="1412">$B89</f>
        <v>Zestiende finale</v>
      </c>
      <c r="DJ89" s="249"/>
      <c r="DK89" s="249"/>
      <c r="DL89" s="250"/>
      <c r="DM89" s="279"/>
      <c r="DN89" s="280"/>
      <c r="DO89" s="251"/>
      <c r="DP89" s="263"/>
      <c r="DQ89" s="250"/>
      <c r="DR89" s="250"/>
      <c r="DS89" s="250"/>
      <c r="DT89" s="264"/>
      <c r="DV89" s="247" t="str">
        <f t="shared" ref="DV89:DV106" si="1413">$B89</f>
        <v>Zestiende finale</v>
      </c>
      <c r="DW89" s="249"/>
      <c r="DX89" s="249"/>
      <c r="DY89" s="250"/>
      <c r="DZ89" s="279"/>
      <c r="EA89" s="280"/>
      <c r="EB89" s="251"/>
      <c r="EC89" s="263"/>
      <c r="ED89" s="250"/>
      <c r="EE89" s="250"/>
      <c r="EF89" s="250"/>
      <c r="EG89" s="264"/>
      <c r="EI89" s="247" t="str">
        <f t="shared" ref="EI89:EI106" si="1414">$B89</f>
        <v>Zestiende finale</v>
      </c>
      <c r="EJ89" s="249"/>
      <c r="EK89" s="249"/>
      <c r="EL89" s="250"/>
      <c r="EM89" s="279"/>
      <c r="EN89" s="280"/>
      <c r="EO89" s="251"/>
      <c r="EP89" s="263"/>
      <c r="EQ89" s="250"/>
      <c r="ER89" s="250"/>
      <c r="ES89" s="250"/>
      <c r="ET89" s="264"/>
      <c r="EV89" s="247" t="str">
        <f t="shared" ref="EV89:EV106" si="1415">$B89</f>
        <v>Zestiende finale</v>
      </c>
      <c r="EW89" s="249"/>
      <c r="EX89" s="249"/>
      <c r="EY89" s="250"/>
      <c r="EZ89" s="279"/>
      <c r="FA89" s="280"/>
      <c r="FB89" s="251"/>
      <c r="FC89" s="263"/>
      <c r="FD89" s="250"/>
      <c r="FE89" s="250"/>
      <c r="FF89" s="250"/>
      <c r="FG89" s="264"/>
      <c r="FI89" s="247" t="str">
        <f t="shared" ref="FI89:FI106" si="1416">$B89</f>
        <v>Zestiende finale</v>
      </c>
      <c r="FJ89" s="249"/>
      <c r="FK89" s="249"/>
      <c r="FL89" s="250"/>
      <c r="FM89" s="279"/>
      <c r="FN89" s="280"/>
      <c r="FO89" s="251"/>
      <c r="FP89" s="263"/>
      <c r="FQ89" s="250"/>
      <c r="FR89" s="250"/>
      <c r="FS89" s="250"/>
      <c r="FT89" s="264"/>
      <c r="FV89" s="247" t="str">
        <f t="shared" ref="FV89:FV106" si="1417">$B89</f>
        <v>Zestiende finale</v>
      </c>
      <c r="FW89" s="249"/>
      <c r="FX89" s="249"/>
      <c r="FY89" s="250"/>
      <c r="FZ89" s="279"/>
      <c r="GA89" s="280"/>
      <c r="GB89" s="251"/>
      <c r="GC89" s="263"/>
      <c r="GD89" s="250"/>
      <c r="GE89" s="250"/>
      <c r="GF89" s="250"/>
      <c r="GG89" s="264"/>
      <c r="GI89" s="247" t="str">
        <f t="shared" ref="GI89:GI106" si="1418">$B89</f>
        <v>Zestiende finale</v>
      </c>
      <c r="GJ89" s="249"/>
      <c r="GK89" s="249"/>
      <c r="GL89" s="250"/>
      <c r="GM89" s="279"/>
      <c r="GN89" s="280"/>
      <c r="GO89" s="251"/>
      <c r="GP89" s="263"/>
      <c r="GQ89" s="250"/>
      <c r="GR89" s="250"/>
      <c r="GS89" s="250"/>
      <c r="GT89" s="264"/>
      <c r="GV89" s="247" t="str">
        <f t="shared" ref="GV89:GV106" si="1419">$B89</f>
        <v>Zestiende finale</v>
      </c>
      <c r="GW89" s="249"/>
      <c r="GX89" s="249"/>
      <c r="GY89" s="250"/>
      <c r="GZ89" s="279"/>
      <c r="HA89" s="280"/>
      <c r="HB89" s="251"/>
      <c r="HC89" s="263"/>
      <c r="HD89" s="250"/>
      <c r="HE89" s="250"/>
      <c r="HF89" s="250"/>
      <c r="HG89" s="264"/>
      <c r="HI89" s="247" t="str">
        <f t="shared" ref="HI89:HI106" si="1420">$B89</f>
        <v>Zestiende finale</v>
      </c>
      <c r="HJ89" s="249"/>
      <c r="HK89" s="249"/>
      <c r="HL89" s="250"/>
      <c r="HM89" s="279"/>
      <c r="HN89" s="280"/>
      <c r="HO89" s="251"/>
      <c r="HP89" s="263"/>
      <c r="HQ89" s="250"/>
      <c r="HR89" s="250"/>
      <c r="HS89" s="250"/>
      <c r="HT89" s="264"/>
      <c r="HV89" s="247" t="str">
        <f t="shared" ref="HV89:HV106" si="1421">$B89</f>
        <v>Zestiende finale</v>
      </c>
      <c r="HW89" s="249"/>
      <c r="HX89" s="249"/>
      <c r="HY89" s="250"/>
      <c r="HZ89" s="279"/>
      <c r="IA89" s="280"/>
      <c r="IB89" s="251"/>
      <c r="IC89" s="263"/>
      <c r="ID89" s="250"/>
      <c r="IE89" s="250"/>
      <c r="IF89" s="250"/>
      <c r="IG89" s="264"/>
      <c r="II89" s="247" t="str">
        <f t="shared" ref="II89:II106" si="1422">$B89</f>
        <v>Zestiende finale</v>
      </c>
      <c r="IJ89" s="249"/>
      <c r="IK89" s="249"/>
      <c r="IL89" s="250"/>
      <c r="IM89" s="279"/>
      <c r="IN89" s="280"/>
      <c r="IO89" s="251"/>
      <c r="IP89" s="263"/>
      <c r="IQ89" s="250"/>
      <c r="IR89" s="250"/>
      <c r="IS89" s="250"/>
      <c r="IT89" s="264"/>
      <c r="IV89" s="247" t="str">
        <f t="shared" ref="IV89:IV106" si="1423">$B89</f>
        <v>Zestiende finale</v>
      </c>
      <c r="IW89" s="249"/>
      <c r="IX89" s="249"/>
      <c r="IY89" s="250"/>
      <c r="IZ89" s="279"/>
      <c r="JA89" s="280"/>
      <c r="JB89" s="251"/>
      <c r="JC89" s="263"/>
      <c r="JD89" s="250"/>
      <c r="JE89" s="250"/>
      <c r="JF89" s="250"/>
      <c r="JG89" s="264"/>
      <c r="JI89" s="247" t="str">
        <f t="shared" ref="JI89:JI106" si="1424">$B89</f>
        <v>Zestiende finale</v>
      </c>
      <c r="JJ89" s="249"/>
      <c r="JK89" s="249"/>
      <c r="JL89" s="250"/>
      <c r="JM89" s="279"/>
      <c r="JN89" s="280"/>
      <c r="JO89" s="251"/>
      <c r="JP89" s="263"/>
      <c r="JQ89" s="250"/>
      <c r="JR89" s="250"/>
      <c r="JS89" s="250"/>
      <c r="JT89" s="264"/>
      <c r="JV89" s="247" t="str">
        <f t="shared" ref="JV89:JV106" si="1425">$B89</f>
        <v>Zestiende finale</v>
      </c>
      <c r="JW89" s="249"/>
      <c r="JX89" s="249"/>
      <c r="JY89" s="250"/>
      <c r="JZ89" s="279"/>
      <c r="KA89" s="280"/>
      <c r="KB89" s="251"/>
      <c r="KC89" s="263"/>
      <c r="KD89" s="250"/>
      <c r="KE89" s="250"/>
      <c r="KF89" s="250"/>
      <c r="KG89" s="264"/>
      <c r="KI89" s="247" t="str">
        <f t="shared" ref="KI89:KI106" si="1426">$B89</f>
        <v>Zestiende finale</v>
      </c>
      <c r="KJ89" s="249"/>
      <c r="KK89" s="249"/>
      <c r="KL89" s="250"/>
      <c r="KM89" s="279"/>
      <c r="KN89" s="280"/>
      <c r="KO89" s="251"/>
      <c r="KP89" s="263"/>
      <c r="KQ89" s="250"/>
      <c r="KR89" s="250"/>
      <c r="KS89" s="250"/>
      <c r="KT89" s="264"/>
      <c r="KV89" s="247" t="str">
        <f t="shared" ref="KV89:KV106" si="1427">$B89</f>
        <v>Zestiende finale</v>
      </c>
      <c r="KW89" s="249"/>
      <c r="KX89" s="249"/>
      <c r="KY89" s="250"/>
      <c r="KZ89" s="279"/>
      <c r="LA89" s="280"/>
      <c r="LB89" s="251"/>
      <c r="LC89" s="263"/>
      <c r="LD89" s="250"/>
      <c r="LE89" s="250"/>
      <c r="LF89" s="250"/>
      <c r="LG89" s="264"/>
      <c r="LI89" s="247" t="str">
        <f t="shared" ref="LI89:LI106" si="1428">$B89</f>
        <v>Zestiende finale</v>
      </c>
      <c r="LJ89" s="249"/>
      <c r="LK89" s="249"/>
      <c r="LL89" s="250"/>
      <c r="LM89" s="279"/>
      <c r="LN89" s="280"/>
      <c r="LO89" s="251"/>
      <c r="LP89" s="263"/>
      <c r="LQ89" s="250"/>
      <c r="LR89" s="250"/>
      <c r="LS89" s="250"/>
      <c r="LT89" s="264"/>
      <c r="LV89" s="247" t="str">
        <f t="shared" ref="LV89:LV106" si="1429">$B89</f>
        <v>Zestiende finale</v>
      </c>
      <c r="LW89" s="249"/>
      <c r="LX89" s="249"/>
      <c r="LY89" s="250"/>
      <c r="LZ89" s="279"/>
      <c r="MA89" s="280"/>
      <c r="MB89" s="251"/>
      <c r="MC89" s="263"/>
      <c r="MD89" s="250"/>
      <c r="ME89" s="250"/>
      <c r="MF89" s="250"/>
      <c r="MG89" s="264"/>
    </row>
    <row r="90" spans="1:345" s="231" customFormat="1">
      <c r="A90" s="23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Cup'!$B$51+IF(AND('World Cup'!$B$53&lt;&gt;"",'World Cup'!$C$53&lt;&gt;"",'World Cup'!$B$51='World Cup'!$C$51),'World Cup'!$B$53,0),"")</f>
        <v>0</v>
      </c>
      <c r="G90" s="242">
        <f>IF(AND('World Cup'!$B$51&lt;&gt;"",'World Cup'!$C$51&lt;&gt;""),'World Cup'!$C$51+IF(AND('World Cup'!$B$53&lt;&gt;"",'World Cup'!$C$53&lt;&gt;"",'World Cup'!$B$51='World Cup'!$C$51),'World Cup'!$C$53,0),"")</f>
        <v>0</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c r="A91" s="235"/>
      <c r="B91" s="238">
        <f>IF(C91="","",INDEX(Groups!$C$7:$C$65,MATCH(C91,Groups!$D$7:$D$65,0)))</f>
        <v>1</v>
      </c>
      <c r="C91" s="239" t="str">
        <f>'World Cup'!$E$50</f>
        <v>Frankrijk</v>
      </c>
      <c r="D91" s="240">
        <f>IF(E91="","",INDEX(Groups!$C$7:$C$65,MATCH(E91,Groups!$D$7:$D$65,0)))</f>
        <v>38</v>
      </c>
      <c r="E91" s="239" t="str">
        <f>'World Cup'!$F$50</f>
        <v>Zweden</v>
      </c>
      <c r="F91" s="241">
        <f>IF(AND('World Cup'!$E$51&lt;&gt;"",'World Cup'!$F$51&lt;&gt;""),'World Cup'!$E$51+IF(AND('World Cup'!$E$53&lt;&gt;"",'World Cup'!$F$53&lt;&gt;"",'World Cup'!$E$51='World Cup'!$F$51),'World Cup'!$E$53,0),"")</f>
        <v>2</v>
      </c>
      <c r="G91" s="242">
        <f>IF(AND('World Cup'!$E$51&lt;&gt;"",'World Cup'!$F$51&lt;&gt;""),'World Cup'!$F$51+IF(AND('World Cup'!$E$53&lt;&gt;"",'World Cup'!$F$53&lt;&gt;"",'World Cup'!$E$51='World Cup'!$F$51),'World Cup'!$F$53,0),"")</f>
        <v>3</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c r="A92" s="235"/>
      <c r="B92" s="238">
        <f>IF(C92="","",INDEX(Groups!$C$7:$C$65,MATCH(C92,Groups!$D$7:$D$65,0)))</f>
        <v>25</v>
      </c>
      <c r="C92" s="239" t="str">
        <f>'World Cup'!$H$50</f>
        <v>Zuid-Korea</v>
      </c>
      <c r="D92" s="240">
        <f>IF(E92="","",INDEX(Groups!$C$7:$C$65,MATCH(E92,Groups!$D$7:$D$65,0)))</f>
        <v>30</v>
      </c>
      <c r="E92" s="239" t="str">
        <f>'World Cup'!$I$50</f>
        <v>Canada</v>
      </c>
      <c r="F92" s="241">
        <f>IF(AND('World Cup'!$H$51&lt;&gt;"",'World Cup'!$I$51&lt;&gt;""),'World Cup'!$H$51+IF(AND('World Cup'!$H$53&lt;&gt;"",'World Cup'!$I$53&lt;&gt;"",'World Cup'!$H$51='World Cup'!$I$51),'World Cup'!$H$53,0),"")</f>
        <v>0</v>
      </c>
      <c r="G92" s="242">
        <f>IF(AND('World Cup'!$H$51&lt;&gt;"",'World Cup'!$I$51&lt;&gt;""),'World Cup'!$I$51+IF(AND('World Cup'!$H$53&lt;&gt;"",'World Cup'!$I$53&lt;&gt;"",'World Cup'!$H$51='World Cup'!$I$51),'World Cup'!$I$53,0),"")</f>
        <v>0</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c r="A93" s="235"/>
      <c r="B93" s="238">
        <f>IF(C93="","",INDEX(Groups!$C$7:$C$65,MATCH(C93,Groups!$D$7:$D$65,0)))</f>
        <v>7</v>
      </c>
      <c r="C93" s="239" t="str">
        <f>'World Cup'!$K$50</f>
        <v>Nederland</v>
      </c>
      <c r="D93" s="240">
        <f>IF(E93="","",INDEX(Groups!$C$7:$C$65,MATCH(E93,Groups!$D$7:$D$65,0)))</f>
        <v>8</v>
      </c>
      <c r="E93" s="239" t="str">
        <f>'World Cup'!$L$50</f>
        <v>Marokko</v>
      </c>
      <c r="F93" s="241">
        <f>IF(AND('World Cup'!$K$51&lt;&gt;"",'World Cup'!$L$51&lt;&gt;""),'World Cup'!$K$51+IF(AND('World Cup'!$K$53&lt;&gt;"",'World Cup'!$L$53&lt;&gt;"",'World Cup'!$K$51='World Cup'!$L$51),'World Cup'!$K$53,0),"")</f>
        <v>0</v>
      </c>
      <c r="G93" s="242">
        <f>IF(AND('World Cup'!$K$51&lt;&gt;"",'World Cup'!$L$51&lt;&gt;""),'World Cup'!$L$51+IF(AND('World Cup'!$K$53&lt;&gt;"",'World Cup'!$L$53&lt;&gt;"",'World Cup'!$K$51='World Cup'!$L$51),'World Cup'!$L$53,0),"")</f>
        <v>0</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c r="A94" s="23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Cup'!$N$51+IF(AND('World Cup'!$N$53&lt;&gt;"",'World Cup'!$O$53&lt;&gt;"",'World Cup'!$N$51='World Cup'!$O$51),'World Cup'!$N$53,0),"")</f>
        <v>0</v>
      </c>
      <c r="G94" s="242">
        <f>IF(AND('World Cup'!$N$51&lt;&gt;"",'World Cup'!$O$51&lt;&gt;""),'World Cup'!$O$51+IF(AND('World Cup'!$N$53&lt;&gt;"",'World Cup'!$O$53&lt;&gt;"",'World Cup'!$N$51='World Cup'!$O$51),'World Cup'!$O$53,0),"")</f>
        <v>0</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c r="A95" s="235"/>
      <c r="B95" s="238">
        <f>IF(C95="","",INDEX(Groups!$C$7:$C$65,MATCH(C95,Groups!$D$7:$D$65,0)))</f>
        <v>2</v>
      </c>
      <c r="C95" s="239" t="str">
        <f>'World Cup'!$Q$50</f>
        <v>Spanje</v>
      </c>
      <c r="D95" s="240">
        <f>IF(E95="","",INDEX(Groups!$C$7:$C$65,MATCH(E95,Groups!$D$7:$D$65,0)))</f>
        <v>24</v>
      </c>
      <c r="E95" s="239" t="str">
        <f>'World Cup'!$R$50</f>
        <v>Oostenrijk</v>
      </c>
      <c r="F95" s="241">
        <f>IF(AND('World Cup'!$Q$51&lt;&gt;"",'World Cup'!$R$51&lt;&gt;""),'World Cup'!$Q$51+IF(AND('World Cup'!$Q$53&lt;&gt;"",'World Cup'!$R$53&lt;&gt;"",'World Cup'!$Q$51='World Cup'!$R$51),'World Cup'!$Q$53,0),"")</f>
        <v>0</v>
      </c>
      <c r="G95" s="242">
        <f>IF(AND('World Cup'!$Q$51&lt;&gt;"",'World Cup'!$R$51&lt;&gt;""),'World Cup'!$R$51+IF(AND('World Cup'!$Q$53&lt;&gt;"",'World Cup'!$R$53&lt;&gt;"",'World Cup'!$Q$51='World Cup'!$R$51),'World Cup'!$R$53,0),"")</f>
        <v>0</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c r="A96" s="235"/>
      <c r="B96" s="238">
        <f>IF(C96="","",INDEX(Groups!$C$7:$C$65,MATCH(C96,Groups!$D$7:$D$65,0)))</f>
        <v>16</v>
      </c>
      <c r="C96" s="239" t="str">
        <f>'World Cup'!$T$50</f>
        <v>USA</v>
      </c>
      <c r="D96" s="240">
        <f>IF(E96="","",INDEX(Groups!$C$7:$C$65,MATCH(E96,Groups!$D$7:$D$65,0)))</f>
        <v>34</v>
      </c>
      <c r="E96" s="239" t="str">
        <f>'World Cup'!$U$50</f>
        <v>Ivoorkust</v>
      </c>
      <c r="F96" s="241">
        <f>IF(AND('World Cup'!$T$51&lt;&gt;"",'World Cup'!$U$51&lt;&gt;""),'World Cup'!$T$51+IF(AND('World Cup'!$T$53&lt;&gt;"",'World Cup'!$U$53&lt;&gt;"",'World Cup'!$T$51='World Cup'!$U$51),'World Cup'!$T$53,0),"")</f>
        <v>0</v>
      </c>
      <c r="G96" s="242">
        <f>IF(AND('World Cup'!$T$51&lt;&gt;"",'World Cup'!$U$51&lt;&gt;""),'World Cup'!$U$51+IF(AND('World Cup'!$T$53&lt;&gt;"",'World Cup'!$U$53&lt;&gt;"",'World Cup'!$T$51='World Cup'!$U$51),'World Cup'!$U$53,0),"")</f>
        <v>0</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c r="A97" s="235"/>
      <c r="B97" s="238">
        <f>IF(C97="","",INDEX(Groups!$C$7:$C$65,MATCH(C97,Groups!$D$7:$D$65,0)))</f>
        <v>9</v>
      </c>
      <c r="C97" s="239" t="str">
        <f>'World Cup'!$W$50</f>
        <v>België</v>
      </c>
      <c r="D97" s="240">
        <f>IF(E97="","",INDEX(Groups!$C$7:$C$65,MATCH(E97,Groups!$D$7:$D$65,0)))</f>
        <v>41</v>
      </c>
      <c r="E97" s="239" t="str">
        <f>'World Cup'!$X$50</f>
        <v>Tsjechië</v>
      </c>
      <c r="F97" s="241">
        <f>IF(AND('World Cup'!$W$51&lt;&gt;"",'World Cup'!$X$51&lt;&gt;""),'World Cup'!$W$51+IF(AND('World Cup'!$W$53&lt;&gt;"",'World Cup'!$X$53&lt;&gt;"",'World Cup'!$W$51='World Cup'!$X$51),'World Cup'!$W$53,0),"")</f>
        <v>0</v>
      </c>
      <c r="G97" s="242">
        <f>IF(AND('World Cup'!$W$51&lt;&gt;"",'World Cup'!$X$51&lt;&gt;""),'World Cup'!$X$51+IF(AND('World Cup'!$W$53&lt;&gt;"",'World Cup'!$X$53&lt;&gt;"",'World Cup'!$W$51='World Cup'!$X$51),'World Cup'!$X$53,0),"")</f>
        <v>0</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c r="A98" s="235"/>
      <c r="B98" s="238">
        <f>IF(C98="","",INDEX(Groups!$C$7:$C$65,MATCH(C98,Groups!$D$7:$D$65,0)))</f>
        <v>6</v>
      </c>
      <c r="C98" s="239" t="str">
        <f>'World Cup'!$Z$50</f>
        <v>Brazilië</v>
      </c>
      <c r="D98" s="240">
        <f>IF(E98="","",INDEX(Groups!$C$7:$C$65,MATCH(E98,Groups!$D$7:$D$65,0)))</f>
        <v>18</v>
      </c>
      <c r="E98" s="239" t="str">
        <f>'World Cup'!$AA$50</f>
        <v>Japan</v>
      </c>
      <c r="F98" s="241">
        <f>IF(AND('World Cup'!$Z$51&lt;&gt;"",'World Cup'!$AA$51&lt;&gt;""),'World Cup'!$Z$51+IF(AND('World Cup'!$Z$53&lt;&gt;"",'World Cup'!$AA$53&lt;&gt;"",'World Cup'!$Z$51='World Cup'!$AA$51),'World Cup'!$Z$53,0),"")</f>
        <v>0</v>
      </c>
      <c r="G98" s="242">
        <f>IF(AND('World Cup'!$Z$51&lt;&gt;"",'World Cup'!$AA$51&lt;&gt;""),'World Cup'!$AA$51+IF(AND('World Cup'!$Z$53&lt;&gt;"",'World Cup'!$AA$53&lt;&gt;"",'World Cup'!$Z$51='World Cup'!$AA$51),'World Cup'!$AA$53,0),"")</f>
        <v>0</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c r="A99" s="23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Cup'!$AC$51+IF(AND('World Cup'!$AC$53&lt;&gt;"",'World Cup'!$AD$53&lt;&gt;"",'World Cup'!$AC$51='World Cup'!$AD$51),'World Cup'!$AC$53,0),"")</f>
        <v>0</v>
      </c>
      <c r="G99" s="242">
        <f>IF(AND('World Cup'!$AC$51&lt;&gt;"",'World Cup'!$AD$51&lt;&gt;""),'World Cup'!$AD$51+IF(AND('World Cup'!$AC$53&lt;&gt;"",'World Cup'!$AD$53&lt;&gt;"",'World Cup'!$AC$51='World Cup'!$AD$51),'World Cup'!$AD$53,0),"")</f>
        <v>0</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c r="A100" s="235"/>
      <c r="B100" s="238">
        <f>IF(C100="","",INDEX(Groups!$C$7:$C$65,MATCH(C100,Groups!$D$7:$D$65,0)))</f>
        <v>15</v>
      </c>
      <c r="C100" s="239" t="str">
        <f>'World Cup'!$AF$50</f>
        <v>Mexico</v>
      </c>
      <c r="D100" s="240">
        <f>IF(E100="","",INDEX(Groups!$C$7:$C$65,MATCH(E100,Groups!$D$7:$D$65,0)))</f>
        <v>43</v>
      </c>
      <c r="E100" s="239" t="str">
        <f>'World Cup'!$AG$50</f>
        <v>Schotland</v>
      </c>
      <c r="F100" s="241">
        <f>IF(AND('World Cup'!$AF$51&lt;&gt;"",'World Cup'!$AG$51&lt;&gt;""),'World Cup'!$AF$51+IF(AND('World Cup'!$AF$53&lt;&gt;"",'World Cup'!$AG$53&lt;&gt;"",'World Cup'!$AF$51='World Cup'!$AG$51),'World Cup'!$AF$53,0),"")</f>
        <v>0</v>
      </c>
      <c r="G100" s="242">
        <f>IF(AND('World Cup'!$AF$51&lt;&gt;"",'World Cup'!$AG$51&lt;&gt;""),'World Cup'!$AG$51+IF(AND('World Cup'!$AF$53&lt;&gt;"",'World Cup'!$AG$53&lt;&gt;"",'World Cup'!$AF$51='World Cup'!$AG$51),'World Cup'!$AG$53,0),"")</f>
        <v>0</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c r="A101" s="23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Cup'!$AI$51+IF(AND('World Cup'!$AI$53&lt;&gt;"",'World Cup'!$AJ$53&lt;&gt;"",'World Cup'!$AI$51='World Cup'!$AJ$51),'World Cup'!$AI$53,0),"")</f>
        <v>0</v>
      </c>
      <c r="G101" s="242">
        <f>IF(AND('World Cup'!$AI$51&lt;&gt;"",'World Cup'!$AJ$51&lt;&gt;""),'World Cup'!$AJ$51+IF(AND('World Cup'!$AI$53&lt;&gt;"",'World Cup'!$AJ$53&lt;&gt;"",'World Cup'!$AI$51='World Cup'!$AJ$51),'World Cup'!$AJ$53,0),"")</f>
        <v>0</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c r="A102" s="23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Cup'!$AL$51+IF(AND('World Cup'!$AL$53&lt;&gt;"",'World Cup'!$AM$53&lt;&gt;"",'World Cup'!$AL$51='World Cup'!$AM$51),'World Cup'!$AL$53,0),"")</f>
        <v>0</v>
      </c>
      <c r="G102" s="242">
        <f>IF(AND('World Cup'!$AL$51&lt;&gt;"",'World Cup'!$AM$51&lt;&gt;""),'World Cup'!$AM$51+IF(AND('World Cup'!$AL$53&lt;&gt;"",'World Cup'!$AM$53&lt;&gt;"",'World Cup'!$AL$51='World Cup'!$AM$51),'World Cup'!$AM$53,0),"")</f>
        <v>0</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c r="A103" s="235"/>
      <c r="B103" s="238">
        <f>IF(C103="","",INDEX(Groups!$C$7:$C$65,MATCH(C103,Groups!$D$7:$D$65,0)))</f>
        <v>22</v>
      </c>
      <c r="C103" s="239" t="str">
        <f>'World Cup'!$AO$50</f>
        <v>Turkije</v>
      </c>
      <c r="D103" s="240">
        <f>IF(E103="","",INDEX(Groups!$C$7:$C$65,MATCH(E103,Groups!$D$7:$D$65,0)))</f>
        <v>85</v>
      </c>
      <c r="E103" s="239" t="str">
        <f>'World Cup'!$AP$50</f>
        <v>Nieuw-Zeeland</v>
      </c>
      <c r="F103" s="241">
        <f>IF(AND('World Cup'!$AO$51&lt;&gt;"",'World Cup'!$AP$51&lt;&gt;""),'World Cup'!$AO$51+IF(AND('World Cup'!$AO$53&lt;&gt;"",'World Cup'!$AP$53&lt;&gt;"",'World Cup'!$AO$51='World Cup'!$AP$51),'World Cup'!$AO$53,0),"")</f>
        <v>0</v>
      </c>
      <c r="G103" s="242">
        <f>IF(AND('World Cup'!$AO$51&lt;&gt;"",'World Cup'!$AP$51&lt;&gt;""),'World Cup'!$AP$51+IF(AND('World Cup'!$AO$53&lt;&gt;"",'World Cup'!$AP$53&lt;&gt;"",'World Cup'!$AO$51='World Cup'!$AP$51),'World Cup'!$AP$53,0),"")</f>
        <v>0</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c r="A104" s="235"/>
      <c r="B104" s="238">
        <f>IF(C104="","",INDEX(Groups!$C$7:$C$65,MATCH(C104,Groups!$D$7:$D$65,0)))</f>
        <v>19</v>
      </c>
      <c r="C104" s="239" t="str">
        <f>'World Cup'!$AR$50</f>
        <v>Zwitserland</v>
      </c>
      <c r="D104" s="240">
        <f>IF(E104="","",INDEX(Groups!$C$7:$C$65,MATCH(E104,Groups!$D$7:$D$65,0)))</f>
        <v>28</v>
      </c>
      <c r="E104" s="239" t="str">
        <f>'World Cup'!$AS$50</f>
        <v>Algerije</v>
      </c>
      <c r="F104" s="241">
        <f>IF(AND('World Cup'!$AR$51&lt;&gt;"",'World Cup'!$AS$51&lt;&gt;""),'World Cup'!$AR$51+IF(AND('World Cup'!$AR$53&lt;&gt;"",'World Cup'!$AS$53&lt;&gt;"",'World Cup'!$AR$51='World Cup'!$AS$51),'World Cup'!$AR$53,0),"")</f>
        <v>0</v>
      </c>
      <c r="G104" s="242">
        <f>IF(AND('World Cup'!$AR$51&lt;&gt;"",'World Cup'!$AS$51&lt;&gt;""),'World Cup'!$AS$51+IF(AND('World Cup'!$AR$53&lt;&gt;"",'World Cup'!$AS$53&lt;&gt;"",'World Cup'!$AR$51='World Cup'!$AS$51),'World Cup'!$AS$53,0),"")</f>
        <v>0</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c r="A105" s="23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Cup'!$AU$51+IF(AND('World Cup'!$AU$53&lt;&gt;"",'World Cup'!$AV$53&lt;&gt;"",'World Cup'!$AU$51='World Cup'!$AV$51),'World Cup'!$AU$53,0),"")</f>
        <v>0</v>
      </c>
      <c r="G105" s="242">
        <f>IF(AND('World Cup'!$AU$51&lt;&gt;"",'World Cup'!$AV$51&lt;&gt;""),'World Cup'!$AV$51+IF(AND('World Cup'!$AU$53&lt;&gt;"",'World Cup'!$AV$53&lt;&gt;"",'World Cup'!$AU$51='World Cup'!$AV$51),'World Cup'!$AV$53,0),"")</f>
        <v>0</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50"/>
      <c r="R106" s="250"/>
      <c r="S106" s="250"/>
      <c r="T106" s="264"/>
      <c r="V106" s="247" t="str">
        <f t="shared" si="1405"/>
        <v>Achtste finale</v>
      </c>
      <c r="W106" s="249"/>
      <c r="X106" s="249"/>
      <c r="Y106" s="250"/>
      <c r="Z106" s="279"/>
      <c r="AA106" s="280"/>
      <c r="AB106" s="251"/>
      <c r="AC106" s="263"/>
      <c r="AD106" s="250"/>
      <c r="AE106" s="250"/>
      <c r="AF106" s="250"/>
      <c r="AG106" s="264"/>
      <c r="AI106" s="247" t="str">
        <f t="shared" si="1406"/>
        <v>Achtste finale</v>
      </c>
      <c r="AJ106" s="249"/>
      <c r="AK106" s="249"/>
      <c r="AL106" s="250"/>
      <c r="AM106" s="279"/>
      <c r="AN106" s="280"/>
      <c r="AO106" s="251"/>
      <c r="AP106" s="263"/>
      <c r="AQ106" s="250"/>
      <c r="AR106" s="250"/>
      <c r="AS106" s="250"/>
      <c r="AT106" s="264"/>
      <c r="AV106" s="247" t="str">
        <f t="shared" si="1407"/>
        <v>Achtste finale</v>
      </c>
      <c r="AW106" s="249"/>
      <c r="AX106" s="249"/>
      <c r="AY106" s="250"/>
      <c r="AZ106" s="279"/>
      <c r="BA106" s="280"/>
      <c r="BB106" s="251"/>
      <c r="BC106" s="263"/>
      <c r="BD106" s="250"/>
      <c r="BE106" s="250"/>
      <c r="BF106" s="250"/>
      <c r="BG106" s="264"/>
      <c r="BI106" s="247" t="str">
        <f t="shared" si="1408"/>
        <v>Achtste finale</v>
      </c>
      <c r="BJ106" s="249"/>
      <c r="BK106" s="249"/>
      <c r="BL106" s="250"/>
      <c r="BM106" s="279"/>
      <c r="BN106" s="280"/>
      <c r="BO106" s="251"/>
      <c r="BP106" s="263"/>
      <c r="BQ106" s="250"/>
      <c r="BR106" s="250"/>
      <c r="BS106" s="250"/>
      <c r="BT106" s="264"/>
      <c r="BV106" s="247" t="str">
        <f t="shared" si="1409"/>
        <v>Achtste finale</v>
      </c>
      <c r="BW106" s="249"/>
      <c r="BX106" s="249"/>
      <c r="BY106" s="250"/>
      <c r="BZ106" s="279"/>
      <c r="CA106" s="280"/>
      <c r="CB106" s="251"/>
      <c r="CC106" s="263"/>
      <c r="CD106" s="250"/>
      <c r="CE106" s="250"/>
      <c r="CF106" s="250"/>
      <c r="CG106" s="264"/>
      <c r="CI106" s="247" t="str">
        <f t="shared" si="1410"/>
        <v>Achtste finale</v>
      </c>
      <c r="CJ106" s="249"/>
      <c r="CK106" s="249"/>
      <c r="CL106" s="250"/>
      <c r="CM106" s="279"/>
      <c r="CN106" s="280"/>
      <c r="CO106" s="251"/>
      <c r="CP106" s="263"/>
      <c r="CQ106" s="250"/>
      <c r="CR106" s="250"/>
      <c r="CS106" s="250"/>
      <c r="CT106" s="264"/>
      <c r="CV106" s="247" t="str">
        <f t="shared" si="1411"/>
        <v>Achtste finale</v>
      </c>
      <c r="CW106" s="249"/>
      <c r="CX106" s="249"/>
      <c r="CY106" s="250"/>
      <c r="CZ106" s="279"/>
      <c r="DA106" s="280"/>
      <c r="DB106" s="251"/>
      <c r="DC106" s="263"/>
      <c r="DD106" s="250"/>
      <c r="DE106" s="250"/>
      <c r="DF106" s="250"/>
      <c r="DG106" s="264"/>
      <c r="DI106" s="247" t="str">
        <f t="shared" si="1412"/>
        <v>Achtste finale</v>
      </c>
      <c r="DJ106" s="249"/>
      <c r="DK106" s="249"/>
      <c r="DL106" s="250"/>
      <c r="DM106" s="279"/>
      <c r="DN106" s="280"/>
      <c r="DO106" s="251"/>
      <c r="DP106" s="263"/>
      <c r="DQ106" s="250"/>
      <c r="DR106" s="250"/>
      <c r="DS106" s="250"/>
      <c r="DT106" s="264"/>
      <c r="DV106" s="247" t="str">
        <f t="shared" si="1413"/>
        <v>Achtste finale</v>
      </c>
      <c r="DW106" s="249"/>
      <c r="DX106" s="249"/>
      <c r="DY106" s="250"/>
      <c r="DZ106" s="279"/>
      <c r="EA106" s="280"/>
      <c r="EB106" s="251"/>
      <c r="EC106" s="263"/>
      <c r="ED106" s="250"/>
      <c r="EE106" s="250"/>
      <c r="EF106" s="250"/>
      <c r="EG106" s="264"/>
      <c r="EI106" s="247" t="str">
        <f t="shared" si="1414"/>
        <v>Achtste finale</v>
      </c>
      <c r="EJ106" s="249"/>
      <c r="EK106" s="249"/>
      <c r="EL106" s="250"/>
      <c r="EM106" s="279"/>
      <c r="EN106" s="280"/>
      <c r="EO106" s="251"/>
      <c r="EP106" s="263"/>
      <c r="EQ106" s="250"/>
      <c r="ER106" s="250"/>
      <c r="ES106" s="250"/>
      <c r="ET106" s="264"/>
      <c r="EV106" s="247" t="str">
        <f t="shared" si="1415"/>
        <v>Achtste finale</v>
      </c>
      <c r="EW106" s="249"/>
      <c r="EX106" s="249"/>
      <c r="EY106" s="250"/>
      <c r="EZ106" s="279"/>
      <c r="FA106" s="280"/>
      <c r="FB106" s="251"/>
      <c r="FC106" s="263"/>
      <c r="FD106" s="250"/>
      <c r="FE106" s="250"/>
      <c r="FF106" s="250"/>
      <c r="FG106" s="264"/>
      <c r="FI106" s="247" t="str">
        <f t="shared" si="1416"/>
        <v>Achtste finale</v>
      </c>
      <c r="FJ106" s="249"/>
      <c r="FK106" s="249"/>
      <c r="FL106" s="250"/>
      <c r="FM106" s="279"/>
      <c r="FN106" s="280"/>
      <c r="FO106" s="251"/>
      <c r="FP106" s="263"/>
      <c r="FQ106" s="250"/>
      <c r="FR106" s="250"/>
      <c r="FS106" s="250"/>
      <c r="FT106" s="264"/>
      <c r="FV106" s="247" t="str">
        <f t="shared" si="1417"/>
        <v>Achtste finale</v>
      </c>
      <c r="FW106" s="249"/>
      <c r="FX106" s="249"/>
      <c r="FY106" s="250"/>
      <c r="FZ106" s="279"/>
      <c r="GA106" s="280"/>
      <c r="GB106" s="251"/>
      <c r="GC106" s="263"/>
      <c r="GD106" s="250"/>
      <c r="GE106" s="250"/>
      <c r="GF106" s="250"/>
      <c r="GG106" s="264"/>
      <c r="GI106" s="247" t="str">
        <f t="shared" si="1418"/>
        <v>Achtste finale</v>
      </c>
      <c r="GJ106" s="249"/>
      <c r="GK106" s="249"/>
      <c r="GL106" s="250"/>
      <c r="GM106" s="279"/>
      <c r="GN106" s="280"/>
      <c r="GO106" s="251"/>
      <c r="GP106" s="263"/>
      <c r="GQ106" s="250"/>
      <c r="GR106" s="250"/>
      <c r="GS106" s="250"/>
      <c r="GT106" s="264"/>
      <c r="GV106" s="247" t="str">
        <f t="shared" si="1419"/>
        <v>Achtste finale</v>
      </c>
      <c r="GW106" s="249"/>
      <c r="GX106" s="249"/>
      <c r="GY106" s="250"/>
      <c r="GZ106" s="279"/>
      <c r="HA106" s="280"/>
      <c r="HB106" s="251"/>
      <c r="HC106" s="263"/>
      <c r="HD106" s="250"/>
      <c r="HE106" s="250"/>
      <c r="HF106" s="250"/>
      <c r="HG106" s="264"/>
      <c r="HI106" s="247" t="str">
        <f t="shared" si="1420"/>
        <v>Achtste finale</v>
      </c>
      <c r="HJ106" s="249"/>
      <c r="HK106" s="249"/>
      <c r="HL106" s="250"/>
      <c r="HM106" s="279"/>
      <c r="HN106" s="280"/>
      <c r="HO106" s="251"/>
      <c r="HP106" s="263"/>
      <c r="HQ106" s="250"/>
      <c r="HR106" s="250"/>
      <c r="HS106" s="250"/>
      <c r="HT106" s="264"/>
      <c r="HV106" s="247" t="str">
        <f t="shared" si="1421"/>
        <v>Achtste finale</v>
      </c>
      <c r="HW106" s="249"/>
      <c r="HX106" s="249"/>
      <c r="HY106" s="250"/>
      <c r="HZ106" s="279"/>
      <c r="IA106" s="280"/>
      <c r="IB106" s="251"/>
      <c r="IC106" s="263"/>
      <c r="ID106" s="250"/>
      <c r="IE106" s="250"/>
      <c r="IF106" s="250"/>
      <c r="IG106" s="264"/>
      <c r="II106" s="247" t="str">
        <f t="shared" si="1422"/>
        <v>Achtste finale</v>
      </c>
      <c r="IJ106" s="249"/>
      <c r="IK106" s="249"/>
      <c r="IL106" s="250"/>
      <c r="IM106" s="279"/>
      <c r="IN106" s="280"/>
      <c r="IO106" s="251"/>
      <c r="IP106" s="263"/>
      <c r="IQ106" s="250"/>
      <c r="IR106" s="250"/>
      <c r="IS106" s="250"/>
      <c r="IT106" s="264"/>
      <c r="IV106" s="247" t="str">
        <f t="shared" si="1423"/>
        <v>Achtste finale</v>
      </c>
      <c r="IW106" s="249"/>
      <c r="IX106" s="249"/>
      <c r="IY106" s="250"/>
      <c r="IZ106" s="279"/>
      <c r="JA106" s="280"/>
      <c r="JB106" s="251"/>
      <c r="JC106" s="263"/>
      <c r="JD106" s="250"/>
      <c r="JE106" s="250"/>
      <c r="JF106" s="250"/>
      <c r="JG106" s="264"/>
      <c r="JI106" s="247" t="str">
        <f t="shared" si="1424"/>
        <v>Achtste finale</v>
      </c>
      <c r="JJ106" s="249"/>
      <c r="JK106" s="249"/>
      <c r="JL106" s="250"/>
      <c r="JM106" s="279"/>
      <c r="JN106" s="280"/>
      <c r="JO106" s="251"/>
      <c r="JP106" s="263"/>
      <c r="JQ106" s="250"/>
      <c r="JR106" s="250"/>
      <c r="JS106" s="250"/>
      <c r="JT106" s="264"/>
      <c r="JV106" s="247" t="str">
        <f t="shared" si="1425"/>
        <v>Achtste finale</v>
      </c>
      <c r="JW106" s="249"/>
      <c r="JX106" s="249"/>
      <c r="JY106" s="250"/>
      <c r="JZ106" s="279"/>
      <c r="KA106" s="280"/>
      <c r="KB106" s="251"/>
      <c r="KC106" s="263"/>
      <c r="KD106" s="250"/>
      <c r="KE106" s="250"/>
      <c r="KF106" s="250"/>
      <c r="KG106" s="264"/>
      <c r="KI106" s="247" t="str">
        <f t="shared" si="1426"/>
        <v>Achtste finale</v>
      </c>
      <c r="KJ106" s="249"/>
      <c r="KK106" s="249"/>
      <c r="KL106" s="250"/>
      <c r="KM106" s="279"/>
      <c r="KN106" s="280"/>
      <c r="KO106" s="251"/>
      <c r="KP106" s="263"/>
      <c r="KQ106" s="250"/>
      <c r="KR106" s="250"/>
      <c r="KS106" s="250"/>
      <c r="KT106" s="264"/>
      <c r="KV106" s="247" t="str">
        <f t="shared" si="1427"/>
        <v>Achtste finale</v>
      </c>
      <c r="KW106" s="249"/>
      <c r="KX106" s="249"/>
      <c r="KY106" s="250"/>
      <c r="KZ106" s="279"/>
      <c r="LA106" s="280"/>
      <c r="LB106" s="251"/>
      <c r="LC106" s="263"/>
      <c r="LD106" s="250"/>
      <c r="LE106" s="250"/>
      <c r="LF106" s="250"/>
      <c r="LG106" s="264"/>
      <c r="LI106" s="247" t="str">
        <f t="shared" si="1428"/>
        <v>Achtste finale</v>
      </c>
      <c r="LJ106" s="249"/>
      <c r="LK106" s="249"/>
      <c r="LL106" s="250"/>
      <c r="LM106" s="279"/>
      <c r="LN106" s="280"/>
      <c r="LO106" s="251"/>
      <c r="LP106" s="263"/>
      <c r="LQ106" s="250"/>
      <c r="LR106" s="250"/>
      <c r="LS106" s="250"/>
      <c r="LT106" s="264"/>
      <c r="LV106" s="247" t="str">
        <f t="shared" si="1429"/>
        <v>Achtste finale</v>
      </c>
      <c r="LW106" s="249"/>
      <c r="LX106" s="249"/>
      <c r="LY106" s="250"/>
      <c r="LZ106" s="279"/>
      <c r="MA106" s="280"/>
      <c r="MB106" s="251"/>
      <c r="MC106" s="263"/>
      <c r="MD106" s="250"/>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Cup'!$B$61+IF(AND('World Cup'!$B$63&lt;&gt;"",'World Cup'!$C$63&lt;&gt;"",'World Cup'!$B$61='World Cup'!$C$61),'World Cup'!$B$63,0),"")</f>
        <v>0</v>
      </c>
      <c r="G107" s="242">
        <f>IF(AND('World Cup'!$B$61&lt;&gt;"",'World Cup'!$C$61&lt;&gt;""),'World Cup'!$C$61+IF(AND('World Cup'!$B$63&lt;&gt;"",'World Cup'!$C$63&lt;&gt;"",'World Cup'!$B$61='World Cup'!$C$61),'World Cup'!$C$63,0),"")</f>
        <v>0</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Cup'!$E$61+IF(AND('World Cup'!$E$63&lt;&gt;"",'World Cup'!$F$63&lt;&gt;"",'World Cup'!$E$61='World Cup'!$F$61),'World Cup'!$E$63,0),"")</f>
        <v>0</v>
      </c>
      <c r="G108" s="242">
        <f>IF(AND('World Cup'!$E$61&lt;&gt;"",'World Cup'!$F$61&lt;&gt;""),'World Cup'!$F$61+IF(AND('World Cup'!$E$63&lt;&gt;"",'World Cup'!$F$63&lt;&gt;"",'World Cup'!$E$61='World Cup'!$F$61),'World Cup'!$F$63,0),"")</f>
        <v>0</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Cup'!$H$61+IF(AND('World Cup'!$H$63&lt;&gt;"",'World Cup'!$I$63&lt;&gt;"",'World Cup'!$H$61='World Cup'!$I$61),'World Cup'!$H$63,0),"")</f>
        <v>0</v>
      </c>
      <c r="G109" s="242">
        <f>IF(AND('World Cup'!$H$61&lt;&gt;"",'World Cup'!$I$61&lt;&gt;""),'World Cup'!$I$61+IF(AND('World Cup'!$H$63&lt;&gt;"",'World Cup'!$I$63&lt;&gt;"",'World Cup'!$H$61='World Cup'!$I$61),'World Cup'!$I$63,0),"")</f>
        <v>0</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Cup'!$K$61+IF(AND('World Cup'!$K$63&lt;&gt;"",'World Cup'!$L$63&lt;&gt;"",'World Cup'!$K$61='World Cup'!$L$61),'World Cup'!$K$63,0),"")</f>
        <v>0</v>
      </c>
      <c r="G110" s="242">
        <f>IF(AND('World Cup'!$K$61&lt;&gt;"",'World Cup'!$L$61&lt;&gt;""),'World Cup'!$L$61+IF(AND('World Cup'!$K$63&lt;&gt;"",'World Cup'!$L$63&lt;&gt;"",'World Cup'!$K$61='World Cup'!$L$61),'World Cup'!$L$63,0),"")</f>
        <v>0</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Cup'!$N$61+IF(AND('World Cup'!$N$63&lt;&gt;"",'World Cup'!$O$63&lt;&gt;"",'World Cup'!$N$61='World Cup'!$O$61),'World Cup'!$N$63,0),"")</f>
        <v>0</v>
      </c>
      <c r="G111" s="242">
        <f>IF(AND('World Cup'!$N$61&lt;&gt;"",'World Cup'!$O$61&lt;&gt;""),'World Cup'!$O$61+IF(AND('World Cup'!$N$63&lt;&gt;"",'World Cup'!$O$63&lt;&gt;"",'World Cup'!$N$61='World Cup'!$O$61),'World Cup'!$O$63,0),"")</f>
        <v>0</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Cup'!$Q$61+IF(AND('World Cup'!$Q$63&lt;&gt;"",'World Cup'!$R$63&lt;&gt;"",'World Cup'!$Q$61='World Cup'!$R$61),'World Cup'!$Q$63,0),"")</f>
        <v>0</v>
      </c>
      <c r="G112" s="242">
        <f>IF(AND('World Cup'!$Q$61&lt;&gt;"",'World Cup'!$R$61&lt;&gt;""),'World Cup'!$R$61+IF(AND('World Cup'!$Q$63&lt;&gt;"",'World Cup'!$R$63&lt;&gt;"",'World Cup'!$Q$61='World Cup'!$R$61),'World Cup'!$R$63,0),"")</f>
        <v>0</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Cup'!$T$61+IF(AND('World Cup'!$T$63&lt;&gt;"",'World Cup'!$U$63&lt;&gt;"",'World Cup'!$T$61='World Cup'!$U$61),'World Cup'!$T$63,0),"")</f>
        <v>0</v>
      </c>
      <c r="G113" s="242">
        <f>IF(AND('World Cup'!$T$61&lt;&gt;"",'World Cup'!$U$61&lt;&gt;""),'World Cup'!$U$61+IF(AND('World Cup'!$T$63&lt;&gt;"",'World Cup'!$U$63&lt;&gt;"",'World Cup'!$T$61='World Cup'!$U$61),'World Cup'!$U$63,0),"")</f>
        <v>0</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Cup'!$W$61+IF(AND('World Cup'!$W$63&lt;&gt;"",'World Cup'!$X$63&lt;&gt;"",'World Cup'!$W$61='World Cup'!$X$61),'World Cup'!$W$63,0),"")</f>
        <v>0</v>
      </c>
      <c r="G114" s="242">
        <f>IF(AND('World Cup'!$W$61&lt;&gt;"",'World Cup'!$X$61&lt;&gt;""),'World Cup'!$X$61+IF(AND('World Cup'!$W$63&lt;&gt;"",'World Cup'!$X$63&lt;&gt;"",'World Cup'!$W$61='World Cup'!$X$61),'World Cup'!$X$63,0),"")</f>
        <v>0</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63"/>
      <c r="Q115" s="250"/>
      <c r="R115" s="250"/>
      <c r="S115" s="250"/>
      <c r="T115" s="264"/>
      <c r="V115" s="247" t="str">
        <f>$B115</f>
        <v>Kwart finale</v>
      </c>
      <c r="W115" s="249"/>
      <c r="X115" s="249"/>
      <c r="Y115" s="250"/>
      <c r="Z115" s="279"/>
      <c r="AA115" s="280"/>
      <c r="AB115" s="251"/>
      <c r="AC115" s="263"/>
      <c r="AD115" s="250"/>
      <c r="AE115" s="250"/>
      <c r="AF115" s="250"/>
      <c r="AG115" s="264"/>
      <c r="AI115" s="247" t="str">
        <f>$B115</f>
        <v>Kwart finale</v>
      </c>
      <c r="AJ115" s="249"/>
      <c r="AK115" s="249"/>
      <c r="AL115" s="250"/>
      <c r="AM115" s="279"/>
      <c r="AN115" s="280"/>
      <c r="AO115" s="251"/>
      <c r="AP115" s="263"/>
      <c r="AQ115" s="250"/>
      <c r="AR115" s="250"/>
      <c r="AS115" s="250"/>
      <c r="AT115" s="264"/>
      <c r="AV115" s="247" t="str">
        <f>$B115</f>
        <v>Kwart finale</v>
      </c>
      <c r="AW115" s="249"/>
      <c r="AX115" s="249"/>
      <c r="AY115" s="250"/>
      <c r="AZ115" s="279"/>
      <c r="BA115" s="280"/>
      <c r="BB115" s="251"/>
      <c r="BC115" s="263"/>
      <c r="BD115" s="250"/>
      <c r="BE115" s="250"/>
      <c r="BF115" s="250"/>
      <c r="BG115" s="264"/>
      <c r="BI115" s="247" t="str">
        <f>$B115</f>
        <v>Kwart finale</v>
      </c>
      <c r="BJ115" s="249"/>
      <c r="BK115" s="249"/>
      <c r="BL115" s="250"/>
      <c r="BM115" s="279"/>
      <c r="BN115" s="280"/>
      <c r="BO115" s="251"/>
      <c r="BP115" s="263"/>
      <c r="BQ115" s="250"/>
      <c r="BR115" s="250"/>
      <c r="BS115" s="250"/>
      <c r="BT115" s="264"/>
      <c r="BV115" s="247" t="str">
        <f>$B115</f>
        <v>Kwart finale</v>
      </c>
      <c r="BW115" s="249"/>
      <c r="BX115" s="249"/>
      <c r="BY115" s="250"/>
      <c r="BZ115" s="279"/>
      <c r="CA115" s="280"/>
      <c r="CB115" s="251"/>
      <c r="CC115" s="263"/>
      <c r="CD115" s="250"/>
      <c r="CE115" s="250"/>
      <c r="CF115" s="250"/>
      <c r="CG115" s="264"/>
      <c r="CI115" s="247" t="str">
        <f>$B115</f>
        <v>Kwart finale</v>
      </c>
      <c r="CJ115" s="249"/>
      <c r="CK115" s="249"/>
      <c r="CL115" s="250"/>
      <c r="CM115" s="279"/>
      <c r="CN115" s="280"/>
      <c r="CO115" s="251"/>
      <c r="CP115" s="263"/>
      <c r="CQ115" s="250"/>
      <c r="CR115" s="250"/>
      <c r="CS115" s="250"/>
      <c r="CT115" s="264"/>
      <c r="CV115" s="247" t="str">
        <f>$B115</f>
        <v>Kwart finale</v>
      </c>
      <c r="CW115" s="249"/>
      <c r="CX115" s="249"/>
      <c r="CY115" s="250"/>
      <c r="CZ115" s="279"/>
      <c r="DA115" s="280"/>
      <c r="DB115" s="251"/>
      <c r="DC115" s="263"/>
      <c r="DD115" s="250"/>
      <c r="DE115" s="250"/>
      <c r="DF115" s="250"/>
      <c r="DG115" s="264"/>
      <c r="DI115" s="247" t="str">
        <f>$B115</f>
        <v>Kwart finale</v>
      </c>
      <c r="DJ115" s="249"/>
      <c r="DK115" s="249"/>
      <c r="DL115" s="250"/>
      <c r="DM115" s="279"/>
      <c r="DN115" s="280"/>
      <c r="DO115" s="251"/>
      <c r="DP115" s="263"/>
      <c r="DQ115" s="250"/>
      <c r="DR115" s="250"/>
      <c r="DS115" s="250"/>
      <c r="DT115" s="264"/>
      <c r="DV115" s="247" t="str">
        <f>$B115</f>
        <v>Kwart finale</v>
      </c>
      <c r="DW115" s="249"/>
      <c r="DX115" s="249"/>
      <c r="DY115" s="250"/>
      <c r="DZ115" s="279"/>
      <c r="EA115" s="280"/>
      <c r="EB115" s="251"/>
      <c r="EC115" s="263"/>
      <c r="ED115" s="250"/>
      <c r="EE115" s="250"/>
      <c r="EF115" s="250"/>
      <c r="EG115" s="264"/>
      <c r="EI115" s="247" t="str">
        <f>$B115</f>
        <v>Kwart finale</v>
      </c>
      <c r="EJ115" s="249"/>
      <c r="EK115" s="249"/>
      <c r="EL115" s="250"/>
      <c r="EM115" s="279"/>
      <c r="EN115" s="280"/>
      <c r="EO115" s="251"/>
      <c r="EP115" s="263"/>
      <c r="EQ115" s="250"/>
      <c r="ER115" s="250"/>
      <c r="ES115" s="250"/>
      <c r="ET115" s="264"/>
      <c r="EV115" s="247" t="str">
        <f>$B115</f>
        <v>Kwart finale</v>
      </c>
      <c r="EW115" s="249"/>
      <c r="EX115" s="249"/>
      <c r="EY115" s="250"/>
      <c r="EZ115" s="279"/>
      <c r="FA115" s="280"/>
      <c r="FB115" s="251"/>
      <c r="FC115" s="263"/>
      <c r="FD115" s="250"/>
      <c r="FE115" s="250"/>
      <c r="FF115" s="250"/>
      <c r="FG115" s="264"/>
      <c r="FI115" s="247" t="str">
        <f>$B115</f>
        <v>Kwart finale</v>
      </c>
      <c r="FJ115" s="249"/>
      <c r="FK115" s="249"/>
      <c r="FL115" s="250"/>
      <c r="FM115" s="279"/>
      <c r="FN115" s="280"/>
      <c r="FO115" s="251"/>
      <c r="FP115" s="263"/>
      <c r="FQ115" s="250"/>
      <c r="FR115" s="250"/>
      <c r="FS115" s="250"/>
      <c r="FT115" s="264"/>
      <c r="FV115" s="247" t="str">
        <f>$B115</f>
        <v>Kwart finale</v>
      </c>
      <c r="FW115" s="249"/>
      <c r="FX115" s="249"/>
      <c r="FY115" s="250"/>
      <c r="FZ115" s="279"/>
      <c r="GA115" s="280"/>
      <c r="GB115" s="251"/>
      <c r="GC115" s="263"/>
      <c r="GD115" s="250"/>
      <c r="GE115" s="250"/>
      <c r="GF115" s="250"/>
      <c r="GG115" s="264"/>
      <c r="GI115" s="247" t="str">
        <f>$B115</f>
        <v>Kwart finale</v>
      </c>
      <c r="GJ115" s="249"/>
      <c r="GK115" s="249"/>
      <c r="GL115" s="250"/>
      <c r="GM115" s="279"/>
      <c r="GN115" s="280"/>
      <c r="GO115" s="251"/>
      <c r="GP115" s="263"/>
      <c r="GQ115" s="250"/>
      <c r="GR115" s="250"/>
      <c r="GS115" s="250"/>
      <c r="GT115" s="264"/>
      <c r="GV115" s="247" t="str">
        <f>$B115</f>
        <v>Kwart finale</v>
      </c>
      <c r="GW115" s="249"/>
      <c r="GX115" s="249"/>
      <c r="GY115" s="250"/>
      <c r="GZ115" s="279"/>
      <c r="HA115" s="280"/>
      <c r="HB115" s="251"/>
      <c r="HC115" s="263"/>
      <c r="HD115" s="250"/>
      <c r="HE115" s="250"/>
      <c r="HF115" s="250"/>
      <c r="HG115" s="264"/>
      <c r="HI115" s="247" t="str">
        <f>$B115</f>
        <v>Kwart finale</v>
      </c>
      <c r="HJ115" s="249"/>
      <c r="HK115" s="249"/>
      <c r="HL115" s="250"/>
      <c r="HM115" s="279"/>
      <c r="HN115" s="280"/>
      <c r="HO115" s="251"/>
      <c r="HP115" s="263"/>
      <c r="HQ115" s="250"/>
      <c r="HR115" s="250"/>
      <c r="HS115" s="250"/>
      <c r="HT115" s="264"/>
      <c r="HV115" s="247" t="str">
        <f>$B115</f>
        <v>Kwart finale</v>
      </c>
      <c r="HW115" s="249"/>
      <c r="HX115" s="249"/>
      <c r="HY115" s="250"/>
      <c r="HZ115" s="279"/>
      <c r="IA115" s="280"/>
      <c r="IB115" s="251"/>
      <c r="IC115" s="263"/>
      <c r="ID115" s="250"/>
      <c r="IE115" s="250"/>
      <c r="IF115" s="250"/>
      <c r="IG115" s="264"/>
      <c r="II115" s="247" t="str">
        <f>$B115</f>
        <v>Kwart finale</v>
      </c>
      <c r="IJ115" s="249"/>
      <c r="IK115" s="249"/>
      <c r="IL115" s="250"/>
      <c r="IM115" s="279"/>
      <c r="IN115" s="280"/>
      <c r="IO115" s="251"/>
      <c r="IP115" s="263"/>
      <c r="IQ115" s="250"/>
      <c r="IR115" s="250"/>
      <c r="IS115" s="250"/>
      <c r="IT115" s="264"/>
      <c r="IV115" s="247" t="str">
        <f>$B115</f>
        <v>Kwart finale</v>
      </c>
      <c r="IW115" s="249"/>
      <c r="IX115" s="249"/>
      <c r="IY115" s="250"/>
      <c r="IZ115" s="279"/>
      <c r="JA115" s="280"/>
      <c r="JB115" s="251"/>
      <c r="JC115" s="263"/>
      <c r="JD115" s="250"/>
      <c r="JE115" s="250"/>
      <c r="JF115" s="250"/>
      <c r="JG115" s="264"/>
      <c r="JI115" s="247" t="str">
        <f>$B115</f>
        <v>Kwart finale</v>
      </c>
      <c r="JJ115" s="249"/>
      <c r="JK115" s="249"/>
      <c r="JL115" s="250"/>
      <c r="JM115" s="279"/>
      <c r="JN115" s="280"/>
      <c r="JO115" s="251"/>
      <c r="JP115" s="263"/>
      <c r="JQ115" s="250"/>
      <c r="JR115" s="250"/>
      <c r="JS115" s="250"/>
      <c r="JT115" s="264"/>
      <c r="JV115" s="247" t="str">
        <f>$B115</f>
        <v>Kwart finale</v>
      </c>
      <c r="JW115" s="249"/>
      <c r="JX115" s="249"/>
      <c r="JY115" s="250"/>
      <c r="JZ115" s="279"/>
      <c r="KA115" s="280"/>
      <c r="KB115" s="251"/>
      <c r="KC115" s="263"/>
      <c r="KD115" s="250"/>
      <c r="KE115" s="250"/>
      <c r="KF115" s="250"/>
      <c r="KG115" s="264"/>
      <c r="KI115" s="247" t="str">
        <f>$B115</f>
        <v>Kwart finale</v>
      </c>
      <c r="KJ115" s="249"/>
      <c r="KK115" s="249"/>
      <c r="KL115" s="250"/>
      <c r="KM115" s="279"/>
      <c r="KN115" s="280"/>
      <c r="KO115" s="251"/>
      <c r="KP115" s="263"/>
      <c r="KQ115" s="250"/>
      <c r="KR115" s="250"/>
      <c r="KS115" s="250"/>
      <c r="KT115" s="264"/>
      <c r="KV115" s="247" t="str">
        <f>$B115</f>
        <v>Kwart finale</v>
      </c>
      <c r="KW115" s="249"/>
      <c r="KX115" s="249"/>
      <c r="KY115" s="250"/>
      <c r="KZ115" s="279"/>
      <c r="LA115" s="280"/>
      <c r="LB115" s="251"/>
      <c r="LC115" s="263"/>
      <c r="LD115" s="250"/>
      <c r="LE115" s="250"/>
      <c r="LF115" s="250"/>
      <c r="LG115" s="264"/>
      <c r="LI115" s="247" t="str">
        <f>$B115</f>
        <v>Kwart finale</v>
      </c>
      <c r="LJ115" s="249"/>
      <c r="LK115" s="249"/>
      <c r="LL115" s="250"/>
      <c r="LM115" s="279"/>
      <c r="LN115" s="280"/>
      <c r="LO115" s="251"/>
      <c r="LP115" s="263"/>
      <c r="LQ115" s="250"/>
      <c r="LR115" s="250"/>
      <c r="LS115" s="250"/>
      <c r="LT115" s="264"/>
      <c r="LV115" s="247" t="str">
        <f>$B115</f>
        <v>Kwart finale</v>
      </c>
      <c r="LW115" s="249"/>
      <c r="LX115" s="249"/>
      <c r="LY115" s="250"/>
      <c r="LZ115" s="279"/>
      <c r="MA115" s="280"/>
      <c r="MB115" s="251"/>
      <c r="MC115" s="263"/>
      <c r="MD115" s="250"/>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Cup'!$C$71+IF(AND('World Cup'!$C$73&lt;&gt;"",'World Cup'!$E$73&lt;&gt;"",'World Cup'!$C$71='World Cup'!$E$71),'World Cup'!$C$73,0),"")</f>
        <v>0</v>
      </c>
      <c r="G116" s="242">
        <f>IF(AND('World Cup'!$C$71&lt;&gt;"",'World Cup'!$E$71&lt;&gt;""),'World Cup'!$E$71+IF(AND('World Cup'!$C$73&lt;&gt;"",'World Cup'!$E$73&lt;&gt;"",'World Cup'!$C$71='World Cup'!$E$71),'World Cup'!$E$73,0),"")</f>
        <v>0</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Cup'!$I$71+IF(AND('World Cup'!$I$73&lt;&gt;"",'World Cup'!$K$73&lt;&gt;"",'World Cup'!$I$71='World Cup'!$K$71),'World Cup'!$I$73,0),"")</f>
        <v>0</v>
      </c>
      <c r="G117" s="242">
        <f>IF(AND('World Cup'!$I$71&lt;&gt;"",'World Cup'!$K$71&lt;&gt;""),'World Cup'!$K$71+IF(AND('World Cup'!$I$73&lt;&gt;"",'World Cup'!$K$73&lt;&gt;"",'World Cup'!$I$71='World Cup'!$K$71),'World Cup'!$K$73,0),"")</f>
        <v>0</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Cup'!$O$71+IF(AND('World Cup'!$O$73&lt;&gt;"",'World Cup'!$Q$73&lt;&gt;"",'World Cup'!$O$71='World Cup'!$Q$71),'World Cup'!$O$73,0),"")</f>
        <v>0</v>
      </c>
      <c r="G118" s="242">
        <f>IF(AND('World Cup'!$O$71&lt;&gt;"",'World Cup'!$Q$71&lt;&gt;""),'World Cup'!$Q$71+IF(AND('World Cup'!$O$73&lt;&gt;"",'World Cup'!$Q$73&lt;&gt;"",'World Cup'!$O$71='World Cup'!$Q$71),'World Cup'!$Q$73,0),"")</f>
        <v>0</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Cup'!$U$71+IF(AND('World Cup'!$U$73&lt;&gt;"",'World Cup'!$W$73&lt;&gt;"",'World Cup'!$U$71='World Cup'!$W$71),'World Cup'!$U$73,0),"")</f>
        <v>0</v>
      </c>
      <c r="G119" s="242">
        <f>IF(AND('World Cup'!$U$71&lt;&gt;"",'World Cup'!$W$71&lt;&gt;""),'World Cup'!$W$71+IF(AND('World Cup'!$U$73&lt;&gt;"",'World Cup'!$W$73&lt;&gt;"",'World Cup'!$U$71='World Cup'!$W$71),'World Cup'!$W$73,0),"")</f>
        <v>0</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63"/>
      <c r="Q120" s="250"/>
      <c r="R120" s="250"/>
      <c r="S120" s="250"/>
      <c r="T120" s="264"/>
      <c r="V120" s="247" t="str">
        <f>$B120</f>
        <v>Halve finale</v>
      </c>
      <c r="W120" s="249"/>
      <c r="X120" s="249"/>
      <c r="Y120" s="250"/>
      <c r="Z120" s="279"/>
      <c r="AA120" s="280"/>
      <c r="AB120" s="251"/>
      <c r="AC120" s="263"/>
      <c r="AD120" s="250"/>
      <c r="AE120" s="250"/>
      <c r="AF120" s="250"/>
      <c r="AG120" s="264"/>
      <c r="AI120" s="247" t="str">
        <f>$B120</f>
        <v>Halve finale</v>
      </c>
      <c r="AJ120" s="249"/>
      <c r="AK120" s="249"/>
      <c r="AL120" s="250"/>
      <c r="AM120" s="279"/>
      <c r="AN120" s="280"/>
      <c r="AO120" s="251"/>
      <c r="AP120" s="263"/>
      <c r="AQ120" s="250"/>
      <c r="AR120" s="250"/>
      <c r="AS120" s="250"/>
      <c r="AT120" s="264"/>
      <c r="AV120" s="247" t="str">
        <f>$B120</f>
        <v>Halve finale</v>
      </c>
      <c r="AW120" s="249"/>
      <c r="AX120" s="249"/>
      <c r="AY120" s="250"/>
      <c r="AZ120" s="279"/>
      <c r="BA120" s="280"/>
      <c r="BB120" s="251"/>
      <c r="BC120" s="263"/>
      <c r="BD120" s="250"/>
      <c r="BE120" s="250"/>
      <c r="BF120" s="250"/>
      <c r="BG120" s="264"/>
      <c r="BI120" s="247" t="str">
        <f>$B120</f>
        <v>Halve finale</v>
      </c>
      <c r="BJ120" s="249"/>
      <c r="BK120" s="249"/>
      <c r="BL120" s="250"/>
      <c r="BM120" s="279"/>
      <c r="BN120" s="280"/>
      <c r="BO120" s="251"/>
      <c r="BP120" s="263"/>
      <c r="BQ120" s="250"/>
      <c r="BR120" s="250"/>
      <c r="BS120" s="250"/>
      <c r="BT120" s="264"/>
      <c r="BV120" s="247" t="str">
        <f>$B120</f>
        <v>Halve finale</v>
      </c>
      <c r="BW120" s="249"/>
      <c r="BX120" s="249"/>
      <c r="BY120" s="250"/>
      <c r="BZ120" s="279"/>
      <c r="CA120" s="280"/>
      <c r="CB120" s="251"/>
      <c r="CC120" s="263"/>
      <c r="CD120" s="250"/>
      <c r="CE120" s="250"/>
      <c r="CF120" s="250"/>
      <c r="CG120" s="264"/>
      <c r="CI120" s="247" t="str">
        <f>$B120</f>
        <v>Halve finale</v>
      </c>
      <c r="CJ120" s="249"/>
      <c r="CK120" s="249"/>
      <c r="CL120" s="250"/>
      <c r="CM120" s="279"/>
      <c r="CN120" s="280"/>
      <c r="CO120" s="251"/>
      <c r="CP120" s="263"/>
      <c r="CQ120" s="250"/>
      <c r="CR120" s="250"/>
      <c r="CS120" s="250"/>
      <c r="CT120" s="264"/>
      <c r="CV120" s="247" t="str">
        <f>$B120</f>
        <v>Halve finale</v>
      </c>
      <c r="CW120" s="249"/>
      <c r="CX120" s="249"/>
      <c r="CY120" s="250"/>
      <c r="CZ120" s="279"/>
      <c r="DA120" s="280"/>
      <c r="DB120" s="251"/>
      <c r="DC120" s="263"/>
      <c r="DD120" s="250"/>
      <c r="DE120" s="250"/>
      <c r="DF120" s="250"/>
      <c r="DG120" s="264"/>
      <c r="DI120" s="247" t="str">
        <f>$B120</f>
        <v>Halve finale</v>
      </c>
      <c r="DJ120" s="249"/>
      <c r="DK120" s="249"/>
      <c r="DL120" s="250"/>
      <c r="DM120" s="279"/>
      <c r="DN120" s="280"/>
      <c r="DO120" s="251"/>
      <c r="DP120" s="263"/>
      <c r="DQ120" s="250"/>
      <c r="DR120" s="250"/>
      <c r="DS120" s="250"/>
      <c r="DT120" s="264"/>
      <c r="DV120" s="247" t="str">
        <f>$B120</f>
        <v>Halve finale</v>
      </c>
      <c r="DW120" s="249"/>
      <c r="DX120" s="249"/>
      <c r="DY120" s="250"/>
      <c r="DZ120" s="279"/>
      <c r="EA120" s="280"/>
      <c r="EB120" s="251"/>
      <c r="EC120" s="263"/>
      <c r="ED120" s="250"/>
      <c r="EE120" s="250"/>
      <c r="EF120" s="250"/>
      <c r="EG120" s="264"/>
      <c r="EI120" s="247" t="str">
        <f>$B120</f>
        <v>Halve finale</v>
      </c>
      <c r="EJ120" s="249"/>
      <c r="EK120" s="249"/>
      <c r="EL120" s="250"/>
      <c r="EM120" s="279"/>
      <c r="EN120" s="280"/>
      <c r="EO120" s="251"/>
      <c r="EP120" s="263"/>
      <c r="EQ120" s="250"/>
      <c r="ER120" s="250"/>
      <c r="ES120" s="250"/>
      <c r="ET120" s="264"/>
      <c r="EV120" s="247" t="str">
        <f>$B120</f>
        <v>Halve finale</v>
      </c>
      <c r="EW120" s="249"/>
      <c r="EX120" s="249"/>
      <c r="EY120" s="250"/>
      <c r="EZ120" s="279"/>
      <c r="FA120" s="280"/>
      <c r="FB120" s="251"/>
      <c r="FC120" s="263"/>
      <c r="FD120" s="250"/>
      <c r="FE120" s="250"/>
      <c r="FF120" s="250"/>
      <c r="FG120" s="264"/>
      <c r="FI120" s="247" t="str">
        <f>$B120</f>
        <v>Halve finale</v>
      </c>
      <c r="FJ120" s="249"/>
      <c r="FK120" s="249"/>
      <c r="FL120" s="250"/>
      <c r="FM120" s="279"/>
      <c r="FN120" s="280"/>
      <c r="FO120" s="251"/>
      <c r="FP120" s="263"/>
      <c r="FQ120" s="250"/>
      <c r="FR120" s="250"/>
      <c r="FS120" s="250"/>
      <c r="FT120" s="264"/>
      <c r="FV120" s="247" t="str">
        <f>$B120</f>
        <v>Halve finale</v>
      </c>
      <c r="FW120" s="249"/>
      <c r="FX120" s="249"/>
      <c r="FY120" s="250"/>
      <c r="FZ120" s="279"/>
      <c r="GA120" s="280"/>
      <c r="GB120" s="251"/>
      <c r="GC120" s="263"/>
      <c r="GD120" s="250"/>
      <c r="GE120" s="250"/>
      <c r="GF120" s="250"/>
      <c r="GG120" s="264"/>
      <c r="GI120" s="247" t="str">
        <f>$B120</f>
        <v>Halve finale</v>
      </c>
      <c r="GJ120" s="249"/>
      <c r="GK120" s="249"/>
      <c r="GL120" s="250"/>
      <c r="GM120" s="279"/>
      <c r="GN120" s="280"/>
      <c r="GO120" s="251"/>
      <c r="GP120" s="263"/>
      <c r="GQ120" s="250"/>
      <c r="GR120" s="250"/>
      <c r="GS120" s="250"/>
      <c r="GT120" s="264"/>
      <c r="GV120" s="247" t="str">
        <f>$B120</f>
        <v>Halve finale</v>
      </c>
      <c r="GW120" s="249"/>
      <c r="GX120" s="249"/>
      <c r="GY120" s="250"/>
      <c r="GZ120" s="279"/>
      <c r="HA120" s="280"/>
      <c r="HB120" s="251"/>
      <c r="HC120" s="263"/>
      <c r="HD120" s="250"/>
      <c r="HE120" s="250"/>
      <c r="HF120" s="250"/>
      <c r="HG120" s="264"/>
      <c r="HI120" s="247" t="str">
        <f>$B120</f>
        <v>Halve finale</v>
      </c>
      <c r="HJ120" s="249"/>
      <c r="HK120" s="249"/>
      <c r="HL120" s="250"/>
      <c r="HM120" s="279"/>
      <c r="HN120" s="280"/>
      <c r="HO120" s="251"/>
      <c r="HP120" s="263"/>
      <c r="HQ120" s="250"/>
      <c r="HR120" s="250"/>
      <c r="HS120" s="250"/>
      <c r="HT120" s="264"/>
      <c r="HV120" s="247" t="str">
        <f>$B120</f>
        <v>Halve finale</v>
      </c>
      <c r="HW120" s="249"/>
      <c r="HX120" s="249"/>
      <c r="HY120" s="250"/>
      <c r="HZ120" s="279"/>
      <c r="IA120" s="280"/>
      <c r="IB120" s="251"/>
      <c r="IC120" s="263"/>
      <c r="ID120" s="250"/>
      <c r="IE120" s="250"/>
      <c r="IF120" s="250"/>
      <c r="IG120" s="264"/>
      <c r="II120" s="247" t="str">
        <f>$B120</f>
        <v>Halve finale</v>
      </c>
      <c r="IJ120" s="249"/>
      <c r="IK120" s="249"/>
      <c r="IL120" s="250"/>
      <c r="IM120" s="279"/>
      <c r="IN120" s="280"/>
      <c r="IO120" s="251"/>
      <c r="IP120" s="263"/>
      <c r="IQ120" s="250"/>
      <c r="IR120" s="250"/>
      <c r="IS120" s="250"/>
      <c r="IT120" s="264"/>
      <c r="IV120" s="247" t="str">
        <f>$B120</f>
        <v>Halve finale</v>
      </c>
      <c r="IW120" s="249"/>
      <c r="IX120" s="249"/>
      <c r="IY120" s="250"/>
      <c r="IZ120" s="279"/>
      <c r="JA120" s="280"/>
      <c r="JB120" s="251"/>
      <c r="JC120" s="263"/>
      <c r="JD120" s="250"/>
      <c r="JE120" s="250"/>
      <c r="JF120" s="250"/>
      <c r="JG120" s="264"/>
      <c r="JI120" s="247" t="str">
        <f>$B120</f>
        <v>Halve finale</v>
      </c>
      <c r="JJ120" s="249"/>
      <c r="JK120" s="249"/>
      <c r="JL120" s="250"/>
      <c r="JM120" s="279"/>
      <c r="JN120" s="280"/>
      <c r="JO120" s="251"/>
      <c r="JP120" s="263"/>
      <c r="JQ120" s="250"/>
      <c r="JR120" s="250"/>
      <c r="JS120" s="250"/>
      <c r="JT120" s="264"/>
      <c r="JV120" s="247" t="str">
        <f>$B120</f>
        <v>Halve finale</v>
      </c>
      <c r="JW120" s="249"/>
      <c r="JX120" s="249"/>
      <c r="JY120" s="250"/>
      <c r="JZ120" s="279"/>
      <c r="KA120" s="280"/>
      <c r="KB120" s="251"/>
      <c r="KC120" s="263"/>
      <c r="KD120" s="250"/>
      <c r="KE120" s="250"/>
      <c r="KF120" s="250"/>
      <c r="KG120" s="264"/>
      <c r="KI120" s="247" t="str">
        <f>$B120</f>
        <v>Halve finale</v>
      </c>
      <c r="KJ120" s="249"/>
      <c r="KK120" s="249"/>
      <c r="KL120" s="250"/>
      <c r="KM120" s="279"/>
      <c r="KN120" s="280"/>
      <c r="KO120" s="251"/>
      <c r="KP120" s="263"/>
      <c r="KQ120" s="250"/>
      <c r="KR120" s="250"/>
      <c r="KS120" s="250"/>
      <c r="KT120" s="264"/>
      <c r="KV120" s="247" t="str">
        <f>$B120</f>
        <v>Halve finale</v>
      </c>
      <c r="KW120" s="249"/>
      <c r="KX120" s="249"/>
      <c r="KY120" s="250"/>
      <c r="KZ120" s="279"/>
      <c r="LA120" s="280"/>
      <c r="LB120" s="251"/>
      <c r="LC120" s="263"/>
      <c r="LD120" s="250"/>
      <c r="LE120" s="250"/>
      <c r="LF120" s="250"/>
      <c r="LG120" s="264"/>
      <c r="LI120" s="247" t="str">
        <f>$B120</f>
        <v>Halve finale</v>
      </c>
      <c r="LJ120" s="249"/>
      <c r="LK120" s="249"/>
      <c r="LL120" s="250"/>
      <c r="LM120" s="279"/>
      <c r="LN120" s="280"/>
      <c r="LO120" s="251"/>
      <c r="LP120" s="263"/>
      <c r="LQ120" s="250"/>
      <c r="LR120" s="250"/>
      <c r="LS120" s="250"/>
      <c r="LT120" s="264"/>
      <c r="LV120" s="247" t="str">
        <f>$B120</f>
        <v>Halve finale</v>
      </c>
      <c r="LW120" s="249"/>
      <c r="LX120" s="249"/>
      <c r="LY120" s="250"/>
      <c r="LZ120" s="279"/>
      <c r="MA120" s="280"/>
      <c r="MB120" s="251"/>
      <c r="MC120" s="263"/>
      <c r="MD120" s="250"/>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Cup'!$F$81+IF(AND('World Cup'!$F$83&lt;&gt;"",'World Cup'!$H$83&lt;&gt;"",'World Cup'!$F$81='World Cup'!$H$81),'World Cup'!$F$83,0),"")</f>
        <v>0</v>
      </c>
      <c r="G121" s="242">
        <f>IF(AND('World Cup'!$F$81&lt;&gt;"",'World Cup'!$H$81&lt;&gt;""),'World Cup'!$H$81+IF(AND('World Cup'!$F$83&lt;&gt;"",'World Cup'!$H$83&lt;&gt;"",'World Cup'!$F$81='World Cup'!$H$81),'World Cup'!$H$83,0),"")</f>
        <v>0</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Cup'!$R$81+IF(AND('World Cup'!$R$83&lt;&gt;"",'World Cup'!$T$83&lt;&gt;"",'World Cup'!$R$81='World Cup'!$T$81),'World Cup'!$R$83,0),"")</f>
        <v>0</v>
      </c>
      <c r="G122" s="242">
        <f>IF(AND('World Cup'!$R$81&lt;&gt;"",'World Cup'!$T$81&lt;&gt;""),'World Cup'!$T$81+IF(AND('World Cup'!$R$83&lt;&gt;"",'World Cup'!$T$83&lt;&gt;"",'World Cup'!$R$81='World Cup'!$T$81),'World Cup'!$T$83,0),"")</f>
        <v>0</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c r="B123" s="247" t="str">
        <f>Language!$E$218</f>
        <v>Derde plaats</v>
      </c>
      <c r="C123" s="248"/>
      <c r="D123" s="253"/>
      <c r="E123" s="250"/>
      <c r="F123" s="254"/>
      <c r="G123" s="255"/>
      <c r="H123" s="236"/>
      <c r="I123" s="247" t="str">
        <f>$B125</f>
        <v>Finale</v>
      </c>
      <c r="J123" s="249"/>
      <c r="K123" s="249"/>
      <c r="L123" s="250"/>
      <c r="M123" s="279"/>
      <c r="N123" s="280"/>
      <c r="O123" s="251"/>
      <c r="P123" s="263"/>
      <c r="Q123" s="250"/>
      <c r="R123" s="250"/>
      <c r="S123" s="250"/>
      <c r="T123" s="264"/>
      <c r="V123" s="247" t="str">
        <f>$B125</f>
        <v>Finale</v>
      </c>
      <c r="W123" s="249"/>
      <c r="X123" s="249"/>
      <c r="Y123" s="250"/>
      <c r="Z123" s="279"/>
      <c r="AA123" s="280"/>
      <c r="AB123" s="251"/>
      <c r="AC123" s="263"/>
      <c r="AD123" s="250"/>
      <c r="AE123" s="250"/>
      <c r="AF123" s="250"/>
      <c r="AG123" s="264"/>
      <c r="AI123" s="247" t="str">
        <f>$B125</f>
        <v>Finale</v>
      </c>
      <c r="AJ123" s="249"/>
      <c r="AK123" s="249"/>
      <c r="AL123" s="250"/>
      <c r="AM123" s="279"/>
      <c r="AN123" s="280"/>
      <c r="AO123" s="251"/>
      <c r="AP123" s="263"/>
      <c r="AQ123" s="250"/>
      <c r="AR123" s="250"/>
      <c r="AS123" s="250"/>
      <c r="AT123" s="264"/>
      <c r="AV123" s="247" t="str">
        <f>$B125</f>
        <v>Finale</v>
      </c>
      <c r="AW123" s="249"/>
      <c r="AX123" s="249"/>
      <c r="AY123" s="250"/>
      <c r="AZ123" s="279"/>
      <c r="BA123" s="280"/>
      <c r="BB123" s="251"/>
      <c r="BC123" s="263"/>
      <c r="BD123" s="250"/>
      <c r="BE123" s="250"/>
      <c r="BF123" s="250"/>
      <c r="BG123" s="264"/>
      <c r="BI123" s="247" t="str">
        <f>$B125</f>
        <v>Finale</v>
      </c>
      <c r="BJ123" s="249"/>
      <c r="BK123" s="249"/>
      <c r="BL123" s="250"/>
      <c r="BM123" s="279"/>
      <c r="BN123" s="280"/>
      <c r="BO123" s="251"/>
      <c r="BP123" s="263"/>
      <c r="BQ123" s="250"/>
      <c r="BR123" s="250"/>
      <c r="BS123" s="250"/>
      <c r="BT123" s="264"/>
      <c r="BV123" s="247" t="str">
        <f>$B125</f>
        <v>Finale</v>
      </c>
      <c r="BW123" s="249"/>
      <c r="BX123" s="249"/>
      <c r="BY123" s="250"/>
      <c r="BZ123" s="279"/>
      <c r="CA123" s="280"/>
      <c r="CB123" s="251"/>
      <c r="CC123" s="263"/>
      <c r="CD123" s="250"/>
      <c r="CE123" s="250"/>
      <c r="CF123" s="250"/>
      <c r="CG123" s="264"/>
      <c r="CI123" s="247" t="str">
        <f>$B125</f>
        <v>Finale</v>
      </c>
      <c r="CJ123" s="249"/>
      <c r="CK123" s="249"/>
      <c r="CL123" s="250"/>
      <c r="CM123" s="279"/>
      <c r="CN123" s="280"/>
      <c r="CO123" s="251"/>
      <c r="CP123" s="263"/>
      <c r="CQ123" s="250"/>
      <c r="CR123" s="250"/>
      <c r="CS123" s="250"/>
      <c r="CT123" s="264"/>
      <c r="CV123" s="247" t="str">
        <f>$B125</f>
        <v>Finale</v>
      </c>
      <c r="CW123" s="249"/>
      <c r="CX123" s="249"/>
      <c r="CY123" s="250"/>
      <c r="CZ123" s="279"/>
      <c r="DA123" s="280"/>
      <c r="DB123" s="251"/>
      <c r="DC123" s="263"/>
      <c r="DD123" s="250"/>
      <c r="DE123" s="250"/>
      <c r="DF123" s="250"/>
      <c r="DG123" s="264"/>
      <c r="DI123" s="247" t="str">
        <f>$B125</f>
        <v>Finale</v>
      </c>
      <c r="DJ123" s="249"/>
      <c r="DK123" s="249"/>
      <c r="DL123" s="250"/>
      <c r="DM123" s="279"/>
      <c r="DN123" s="280"/>
      <c r="DO123" s="251"/>
      <c r="DP123" s="263"/>
      <c r="DQ123" s="250"/>
      <c r="DR123" s="250"/>
      <c r="DS123" s="250"/>
      <c r="DT123" s="264"/>
      <c r="DV123" s="247" t="str">
        <f>$B125</f>
        <v>Finale</v>
      </c>
      <c r="DW123" s="249"/>
      <c r="DX123" s="249"/>
      <c r="DY123" s="250"/>
      <c r="DZ123" s="279"/>
      <c r="EA123" s="280"/>
      <c r="EB123" s="251"/>
      <c r="EC123" s="263"/>
      <c r="ED123" s="250"/>
      <c r="EE123" s="250"/>
      <c r="EF123" s="250"/>
      <c r="EG123" s="264"/>
      <c r="EI123" s="247" t="str">
        <f>$B125</f>
        <v>Finale</v>
      </c>
      <c r="EJ123" s="249"/>
      <c r="EK123" s="249"/>
      <c r="EL123" s="250"/>
      <c r="EM123" s="279"/>
      <c r="EN123" s="280"/>
      <c r="EO123" s="251"/>
      <c r="EP123" s="263"/>
      <c r="EQ123" s="250"/>
      <c r="ER123" s="250"/>
      <c r="ES123" s="250"/>
      <c r="ET123" s="264"/>
      <c r="EV123" s="247" t="str">
        <f>$B125</f>
        <v>Finale</v>
      </c>
      <c r="EW123" s="249"/>
      <c r="EX123" s="249"/>
      <c r="EY123" s="250"/>
      <c r="EZ123" s="279"/>
      <c r="FA123" s="280"/>
      <c r="FB123" s="251"/>
      <c r="FC123" s="263"/>
      <c r="FD123" s="250"/>
      <c r="FE123" s="250"/>
      <c r="FF123" s="250"/>
      <c r="FG123" s="264"/>
      <c r="FI123" s="247" t="str">
        <f>$B125</f>
        <v>Finale</v>
      </c>
      <c r="FJ123" s="249"/>
      <c r="FK123" s="249"/>
      <c r="FL123" s="250"/>
      <c r="FM123" s="279"/>
      <c r="FN123" s="280"/>
      <c r="FO123" s="251"/>
      <c r="FP123" s="263"/>
      <c r="FQ123" s="250"/>
      <c r="FR123" s="250"/>
      <c r="FS123" s="250"/>
      <c r="FT123" s="264"/>
      <c r="FV123" s="247" t="str">
        <f>$B125</f>
        <v>Finale</v>
      </c>
      <c r="FW123" s="249"/>
      <c r="FX123" s="249"/>
      <c r="FY123" s="250"/>
      <c r="FZ123" s="279"/>
      <c r="GA123" s="280"/>
      <c r="GB123" s="251"/>
      <c r="GC123" s="263"/>
      <c r="GD123" s="250"/>
      <c r="GE123" s="250"/>
      <c r="GF123" s="250"/>
      <c r="GG123" s="264"/>
      <c r="GI123" s="247" t="str">
        <f>$B125</f>
        <v>Finale</v>
      </c>
      <c r="GJ123" s="249"/>
      <c r="GK123" s="249"/>
      <c r="GL123" s="250"/>
      <c r="GM123" s="279"/>
      <c r="GN123" s="280"/>
      <c r="GO123" s="251"/>
      <c r="GP123" s="263"/>
      <c r="GQ123" s="250"/>
      <c r="GR123" s="250"/>
      <c r="GS123" s="250"/>
      <c r="GT123" s="264"/>
      <c r="GV123" s="247" t="str">
        <f>$B125</f>
        <v>Finale</v>
      </c>
      <c r="GW123" s="249"/>
      <c r="GX123" s="249"/>
      <c r="GY123" s="250"/>
      <c r="GZ123" s="279"/>
      <c r="HA123" s="280"/>
      <c r="HB123" s="251"/>
      <c r="HC123" s="263"/>
      <c r="HD123" s="250"/>
      <c r="HE123" s="250"/>
      <c r="HF123" s="250"/>
      <c r="HG123" s="264"/>
      <c r="HI123" s="247" t="str">
        <f>$B125</f>
        <v>Finale</v>
      </c>
      <c r="HJ123" s="249"/>
      <c r="HK123" s="249"/>
      <c r="HL123" s="250"/>
      <c r="HM123" s="279"/>
      <c r="HN123" s="280"/>
      <c r="HO123" s="251"/>
      <c r="HP123" s="263"/>
      <c r="HQ123" s="250"/>
      <c r="HR123" s="250"/>
      <c r="HS123" s="250"/>
      <c r="HT123" s="264"/>
      <c r="HV123" s="247" t="str">
        <f>$B125</f>
        <v>Finale</v>
      </c>
      <c r="HW123" s="249"/>
      <c r="HX123" s="249"/>
      <c r="HY123" s="250"/>
      <c r="HZ123" s="279"/>
      <c r="IA123" s="280"/>
      <c r="IB123" s="251"/>
      <c r="IC123" s="263"/>
      <c r="ID123" s="250"/>
      <c r="IE123" s="250"/>
      <c r="IF123" s="250"/>
      <c r="IG123" s="264"/>
      <c r="II123" s="247" t="str">
        <f>$B125</f>
        <v>Finale</v>
      </c>
      <c r="IJ123" s="249"/>
      <c r="IK123" s="249"/>
      <c r="IL123" s="250"/>
      <c r="IM123" s="279"/>
      <c r="IN123" s="280"/>
      <c r="IO123" s="251"/>
      <c r="IP123" s="263"/>
      <c r="IQ123" s="250"/>
      <c r="IR123" s="250"/>
      <c r="IS123" s="250"/>
      <c r="IT123" s="264"/>
      <c r="IV123" s="247" t="str">
        <f>$B125</f>
        <v>Finale</v>
      </c>
      <c r="IW123" s="249"/>
      <c r="IX123" s="249"/>
      <c r="IY123" s="250"/>
      <c r="IZ123" s="279"/>
      <c r="JA123" s="280"/>
      <c r="JB123" s="251"/>
      <c r="JC123" s="263"/>
      <c r="JD123" s="250"/>
      <c r="JE123" s="250"/>
      <c r="JF123" s="250"/>
      <c r="JG123" s="264"/>
      <c r="JI123" s="247" t="str">
        <f>$B125</f>
        <v>Finale</v>
      </c>
      <c r="JJ123" s="249"/>
      <c r="JK123" s="249"/>
      <c r="JL123" s="250"/>
      <c r="JM123" s="279"/>
      <c r="JN123" s="280"/>
      <c r="JO123" s="251"/>
      <c r="JP123" s="263"/>
      <c r="JQ123" s="250"/>
      <c r="JR123" s="250"/>
      <c r="JS123" s="250"/>
      <c r="JT123" s="264"/>
      <c r="JV123" s="247" t="str">
        <f>$B125</f>
        <v>Finale</v>
      </c>
      <c r="JW123" s="249"/>
      <c r="JX123" s="249"/>
      <c r="JY123" s="250"/>
      <c r="JZ123" s="279"/>
      <c r="KA123" s="280"/>
      <c r="KB123" s="251"/>
      <c r="KC123" s="263"/>
      <c r="KD123" s="250"/>
      <c r="KE123" s="250"/>
      <c r="KF123" s="250"/>
      <c r="KG123" s="264"/>
      <c r="KI123" s="247" t="str">
        <f>$B125</f>
        <v>Finale</v>
      </c>
      <c r="KJ123" s="249"/>
      <c r="KK123" s="249"/>
      <c r="KL123" s="250"/>
      <c r="KM123" s="279"/>
      <c r="KN123" s="280"/>
      <c r="KO123" s="251"/>
      <c r="KP123" s="263"/>
      <c r="KQ123" s="250"/>
      <c r="KR123" s="250"/>
      <c r="KS123" s="250"/>
      <c r="KT123" s="264"/>
      <c r="KV123" s="247" t="str">
        <f>$B125</f>
        <v>Finale</v>
      </c>
      <c r="KW123" s="249"/>
      <c r="KX123" s="249"/>
      <c r="KY123" s="250"/>
      <c r="KZ123" s="279"/>
      <c r="LA123" s="280"/>
      <c r="LB123" s="251"/>
      <c r="LC123" s="263"/>
      <c r="LD123" s="250"/>
      <c r="LE123" s="250"/>
      <c r="LF123" s="250"/>
      <c r="LG123" s="264"/>
      <c r="LI123" s="247" t="str">
        <f>$B125</f>
        <v>Finale</v>
      </c>
      <c r="LJ123" s="249"/>
      <c r="LK123" s="249"/>
      <c r="LL123" s="250"/>
      <c r="LM123" s="279"/>
      <c r="LN123" s="280"/>
      <c r="LO123" s="251"/>
      <c r="LP123" s="263"/>
      <c r="LQ123" s="250"/>
      <c r="LR123" s="250"/>
      <c r="LS123" s="250"/>
      <c r="LT123" s="264"/>
      <c r="LV123" s="247" t="str">
        <f>$B125</f>
        <v>Finale</v>
      </c>
      <c r="LW123" s="249"/>
      <c r="LX123" s="249"/>
      <c r="LY123" s="250"/>
      <c r="LZ123" s="279"/>
      <c r="MA123" s="280"/>
      <c r="MB123" s="251"/>
      <c r="MC123" s="263"/>
      <c r="MD123" s="250"/>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c r="B125" s="247" t="str">
        <f>Language!$E$219</f>
        <v>Finale</v>
      </c>
      <c r="C125" s="248"/>
      <c r="D125" s="253"/>
      <c r="E125" s="250"/>
      <c r="F125" s="254"/>
      <c r="G125" s="255"/>
      <c r="I125" s="247" t="str">
        <f>$B123</f>
        <v>Derde plaats</v>
      </c>
      <c r="J125" s="249"/>
      <c r="K125" s="249"/>
      <c r="L125" s="250"/>
      <c r="M125" s="279"/>
      <c r="N125" s="280"/>
      <c r="O125" s="251"/>
      <c r="P125" s="263"/>
      <c r="Q125" s="250"/>
      <c r="R125" s="250"/>
      <c r="S125" s="250"/>
      <c r="T125" s="264"/>
      <c r="V125" s="247" t="str">
        <f>$B123</f>
        <v>Derde plaats</v>
      </c>
      <c r="W125" s="249"/>
      <c r="X125" s="249"/>
      <c r="Y125" s="250"/>
      <c r="Z125" s="279"/>
      <c r="AA125" s="280"/>
      <c r="AB125" s="251"/>
      <c r="AC125" s="263"/>
      <c r="AD125" s="250"/>
      <c r="AE125" s="250"/>
      <c r="AF125" s="250"/>
      <c r="AG125" s="264"/>
      <c r="AI125" s="247" t="str">
        <f>$B123</f>
        <v>Derde plaats</v>
      </c>
      <c r="AJ125" s="249"/>
      <c r="AK125" s="249"/>
      <c r="AL125" s="250"/>
      <c r="AM125" s="279"/>
      <c r="AN125" s="280"/>
      <c r="AO125" s="251"/>
      <c r="AP125" s="263"/>
      <c r="AQ125" s="250"/>
      <c r="AR125" s="250"/>
      <c r="AS125" s="250"/>
      <c r="AT125" s="264"/>
      <c r="AV125" s="247" t="str">
        <f>$B123</f>
        <v>Derde plaats</v>
      </c>
      <c r="AW125" s="249"/>
      <c r="AX125" s="249"/>
      <c r="AY125" s="250"/>
      <c r="AZ125" s="279"/>
      <c r="BA125" s="280"/>
      <c r="BB125" s="251"/>
      <c r="BC125" s="263"/>
      <c r="BD125" s="250"/>
      <c r="BE125" s="250"/>
      <c r="BF125" s="250"/>
      <c r="BG125" s="264"/>
      <c r="BI125" s="247" t="str">
        <f>$B123</f>
        <v>Derde plaats</v>
      </c>
      <c r="BJ125" s="249"/>
      <c r="BK125" s="249"/>
      <c r="BL125" s="250"/>
      <c r="BM125" s="279"/>
      <c r="BN125" s="280"/>
      <c r="BO125" s="251"/>
      <c r="BP125" s="263"/>
      <c r="BQ125" s="250"/>
      <c r="BR125" s="250"/>
      <c r="BS125" s="250"/>
      <c r="BT125" s="264"/>
      <c r="BV125" s="247" t="str">
        <f>$B123</f>
        <v>Derde plaats</v>
      </c>
      <c r="BW125" s="249"/>
      <c r="BX125" s="249"/>
      <c r="BY125" s="250"/>
      <c r="BZ125" s="279"/>
      <c r="CA125" s="280"/>
      <c r="CB125" s="251"/>
      <c r="CC125" s="263"/>
      <c r="CD125" s="250"/>
      <c r="CE125" s="250"/>
      <c r="CF125" s="250"/>
      <c r="CG125" s="264"/>
      <c r="CI125" s="247" t="str">
        <f>$B123</f>
        <v>Derde plaats</v>
      </c>
      <c r="CJ125" s="249"/>
      <c r="CK125" s="249"/>
      <c r="CL125" s="250"/>
      <c r="CM125" s="279"/>
      <c r="CN125" s="280"/>
      <c r="CO125" s="251"/>
      <c r="CP125" s="263"/>
      <c r="CQ125" s="250"/>
      <c r="CR125" s="250"/>
      <c r="CS125" s="250"/>
      <c r="CT125" s="264"/>
      <c r="CV125" s="247" t="str">
        <f>$B123</f>
        <v>Derde plaats</v>
      </c>
      <c r="CW125" s="249"/>
      <c r="CX125" s="249"/>
      <c r="CY125" s="250"/>
      <c r="CZ125" s="279"/>
      <c r="DA125" s="280"/>
      <c r="DB125" s="251"/>
      <c r="DC125" s="263"/>
      <c r="DD125" s="250"/>
      <c r="DE125" s="250"/>
      <c r="DF125" s="250"/>
      <c r="DG125" s="264"/>
      <c r="DI125" s="247" t="str">
        <f>$B123</f>
        <v>Derde plaats</v>
      </c>
      <c r="DJ125" s="249"/>
      <c r="DK125" s="249"/>
      <c r="DL125" s="250"/>
      <c r="DM125" s="279"/>
      <c r="DN125" s="280"/>
      <c r="DO125" s="251"/>
      <c r="DP125" s="263"/>
      <c r="DQ125" s="250"/>
      <c r="DR125" s="250"/>
      <c r="DS125" s="250"/>
      <c r="DT125" s="264"/>
      <c r="DV125" s="247" t="str">
        <f>$B123</f>
        <v>Derde plaats</v>
      </c>
      <c r="DW125" s="249"/>
      <c r="DX125" s="249"/>
      <c r="DY125" s="250"/>
      <c r="DZ125" s="279"/>
      <c r="EA125" s="280"/>
      <c r="EB125" s="251"/>
      <c r="EC125" s="263"/>
      <c r="ED125" s="250"/>
      <c r="EE125" s="250"/>
      <c r="EF125" s="250"/>
      <c r="EG125" s="264"/>
      <c r="EI125" s="247" t="str">
        <f>$B123</f>
        <v>Derde plaats</v>
      </c>
      <c r="EJ125" s="249"/>
      <c r="EK125" s="249"/>
      <c r="EL125" s="250"/>
      <c r="EM125" s="279"/>
      <c r="EN125" s="280"/>
      <c r="EO125" s="251"/>
      <c r="EP125" s="263"/>
      <c r="EQ125" s="250"/>
      <c r="ER125" s="250"/>
      <c r="ES125" s="250"/>
      <c r="ET125" s="264"/>
      <c r="EV125" s="247" t="str">
        <f>$B123</f>
        <v>Derde plaats</v>
      </c>
      <c r="EW125" s="249"/>
      <c r="EX125" s="249"/>
      <c r="EY125" s="250"/>
      <c r="EZ125" s="279"/>
      <c r="FA125" s="280"/>
      <c r="FB125" s="251"/>
      <c r="FC125" s="263"/>
      <c r="FD125" s="250"/>
      <c r="FE125" s="250"/>
      <c r="FF125" s="250"/>
      <c r="FG125" s="264"/>
      <c r="FI125" s="247" t="str">
        <f>$B123</f>
        <v>Derde plaats</v>
      </c>
      <c r="FJ125" s="249"/>
      <c r="FK125" s="249"/>
      <c r="FL125" s="250"/>
      <c r="FM125" s="279"/>
      <c r="FN125" s="280"/>
      <c r="FO125" s="251"/>
      <c r="FP125" s="263"/>
      <c r="FQ125" s="250"/>
      <c r="FR125" s="250"/>
      <c r="FS125" s="250"/>
      <c r="FT125" s="264"/>
      <c r="FV125" s="247" t="str">
        <f>$B123</f>
        <v>Derde plaats</v>
      </c>
      <c r="FW125" s="249"/>
      <c r="FX125" s="249"/>
      <c r="FY125" s="250"/>
      <c r="FZ125" s="279"/>
      <c r="GA125" s="280"/>
      <c r="GB125" s="251"/>
      <c r="GC125" s="263"/>
      <c r="GD125" s="250"/>
      <c r="GE125" s="250"/>
      <c r="GF125" s="250"/>
      <c r="GG125" s="264"/>
      <c r="GI125" s="247" t="str">
        <f>$B123</f>
        <v>Derde plaats</v>
      </c>
      <c r="GJ125" s="249"/>
      <c r="GK125" s="249"/>
      <c r="GL125" s="250"/>
      <c r="GM125" s="279"/>
      <c r="GN125" s="280"/>
      <c r="GO125" s="251"/>
      <c r="GP125" s="263"/>
      <c r="GQ125" s="250"/>
      <c r="GR125" s="250"/>
      <c r="GS125" s="250"/>
      <c r="GT125" s="264"/>
      <c r="GV125" s="247" t="str">
        <f>$B123</f>
        <v>Derde plaats</v>
      </c>
      <c r="GW125" s="249"/>
      <c r="GX125" s="249"/>
      <c r="GY125" s="250"/>
      <c r="GZ125" s="279"/>
      <c r="HA125" s="280"/>
      <c r="HB125" s="251"/>
      <c r="HC125" s="263"/>
      <c r="HD125" s="250"/>
      <c r="HE125" s="250"/>
      <c r="HF125" s="250"/>
      <c r="HG125" s="264"/>
      <c r="HI125" s="247" t="str">
        <f>$B123</f>
        <v>Derde plaats</v>
      </c>
      <c r="HJ125" s="249"/>
      <c r="HK125" s="249"/>
      <c r="HL125" s="250"/>
      <c r="HM125" s="279"/>
      <c r="HN125" s="280"/>
      <c r="HO125" s="251"/>
      <c r="HP125" s="263"/>
      <c r="HQ125" s="250"/>
      <c r="HR125" s="250"/>
      <c r="HS125" s="250"/>
      <c r="HT125" s="264"/>
      <c r="HV125" s="247" t="str">
        <f>$B123</f>
        <v>Derde plaats</v>
      </c>
      <c r="HW125" s="249"/>
      <c r="HX125" s="249"/>
      <c r="HY125" s="250"/>
      <c r="HZ125" s="279"/>
      <c r="IA125" s="280"/>
      <c r="IB125" s="251"/>
      <c r="IC125" s="263"/>
      <c r="ID125" s="250"/>
      <c r="IE125" s="250"/>
      <c r="IF125" s="250"/>
      <c r="IG125" s="264"/>
      <c r="II125" s="247" t="str">
        <f>$B123</f>
        <v>Derde plaats</v>
      </c>
      <c r="IJ125" s="249"/>
      <c r="IK125" s="249"/>
      <c r="IL125" s="250"/>
      <c r="IM125" s="279"/>
      <c r="IN125" s="280"/>
      <c r="IO125" s="251"/>
      <c r="IP125" s="263"/>
      <c r="IQ125" s="250"/>
      <c r="IR125" s="250"/>
      <c r="IS125" s="250"/>
      <c r="IT125" s="264"/>
      <c r="IV125" s="247" t="str">
        <f>$B123</f>
        <v>Derde plaats</v>
      </c>
      <c r="IW125" s="249"/>
      <c r="IX125" s="249"/>
      <c r="IY125" s="250"/>
      <c r="IZ125" s="279"/>
      <c r="JA125" s="280"/>
      <c r="JB125" s="251"/>
      <c r="JC125" s="263"/>
      <c r="JD125" s="250"/>
      <c r="JE125" s="250"/>
      <c r="JF125" s="250"/>
      <c r="JG125" s="264"/>
      <c r="JI125" s="247" t="str">
        <f>$B123</f>
        <v>Derde plaats</v>
      </c>
      <c r="JJ125" s="249"/>
      <c r="JK125" s="249"/>
      <c r="JL125" s="250"/>
      <c r="JM125" s="279"/>
      <c r="JN125" s="280"/>
      <c r="JO125" s="251"/>
      <c r="JP125" s="263"/>
      <c r="JQ125" s="250"/>
      <c r="JR125" s="250"/>
      <c r="JS125" s="250"/>
      <c r="JT125" s="264"/>
      <c r="JV125" s="247" t="str">
        <f>$B123</f>
        <v>Derde plaats</v>
      </c>
      <c r="JW125" s="249"/>
      <c r="JX125" s="249"/>
      <c r="JY125" s="250"/>
      <c r="JZ125" s="279"/>
      <c r="KA125" s="280"/>
      <c r="KB125" s="251"/>
      <c r="KC125" s="263"/>
      <c r="KD125" s="250"/>
      <c r="KE125" s="250"/>
      <c r="KF125" s="250"/>
      <c r="KG125" s="264"/>
      <c r="KI125" s="247" t="str">
        <f>$B123</f>
        <v>Derde plaats</v>
      </c>
      <c r="KJ125" s="249"/>
      <c r="KK125" s="249"/>
      <c r="KL125" s="250"/>
      <c r="KM125" s="279"/>
      <c r="KN125" s="280"/>
      <c r="KO125" s="251"/>
      <c r="KP125" s="263"/>
      <c r="KQ125" s="250"/>
      <c r="KR125" s="250"/>
      <c r="KS125" s="250"/>
      <c r="KT125" s="264"/>
      <c r="KV125" s="247" t="str">
        <f>$B123</f>
        <v>Derde plaats</v>
      </c>
      <c r="KW125" s="249"/>
      <c r="KX125" s="249"/>
      <c r="KY125" s="250"/>
      <c r="KZ125" s="279"/>
      <c r="LA125" s="280"/>
      <c r="LB125" s="251"/>
      <c r="LC125" s="263"/>
      <c r="LD125" s="250"/>
      <c r="LE125" s="250"/>
      <c r="LF125" s="250"/>
      <c r="LG125" s="264"/>
      <c r="LI125" s="247" t="str">
        <f>$B123</f>
        <v>Derde plaats</v>
      </c>
      <c r="LJ125" s="249"/>
      <c r="LK125" s="249"/>
      <c r="LL125" s="250"/>
      <c r="LM125" s="279"/>
      <c r="LN125" s="280"/>
      <c r="LO125" s="251"/>
      <c r="LP125" s="263"/>
      <c r="LQ125" s="250"/>
      <c r="LR125" s="250"/>
      <c r="LS125" s="250"/>
      <c r="LT125" s="264"/>
      <c r="LV125" s="247" t="str">
        <f>$B123</f>
        <v>Derde plaats</v>
      </c>
      <c r="LW125" s="249"/>
      <c r="LX125" s="249"/>
      <c r="LY125" s="250"/>
      <c r="LZ125" s="279"/>
      <c r="MA125" s="280"/>
      <c r="MB125" s="251"/>
      <c r="MC125" s="263"/>
      <c r="MD125" s="250"/>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c r="B127" s="411" t="str">
        <f>Language!$E$220</f>
        <v>Wereldkampioen</v>
      </c>
      <c r="C127" s="174"/>
      <c r="D127" s="357"/>
      <c r="E127" s="401"/>
      <c r="F127" s="402"/>
      <c r="G127" s="402"/>
      <c r="I127" s="247" t="str">
        <f>$B127</f>
        <v>Wereldkampioen</v>
      </c>
      <c r="J127" s="249"/>
      <c r="K127" s="249"/>
      <c r="L127" s="250"/>
      <c r="M127" s="279"/>
      <c r="N127" s="280"/>
      <c r="O127" s="251"/>
      <c r="P127" s="263"/>
      <c r="Q127" s="250"/>
      <c r="R127" s="250"/>
      <c r="S127" s="250"/>
      <c r="T127" s="264"/>
      <c r="V127" s="247" t="str">
        <f>$B127</f>
        <v>Wereldkampioen</v>
      </c>
      <c r="W127" s="249"/>
      <c r="X127" s="249"/>
      <c r="Y127" s="250"/>
      <c r="Z127" s="279"/>
      <c r="AA127" s="280"/>
      <c r="AB127" s="251"/>
      <c r="AC127" s="263"/>
      <c r="AD127" s="250"/>
      <c r="AE127" s="250"/>
      <c r="AF127" s="250"/>
      <c r="AG127" s="264"/>
      <c r="AI127" s="247" t="str">
        <f>$B127</f>
        <v>Wereldkampioen</v>
      </c>
      <c r="AJ127" s="249"/>
      <c r="AK127" s="249"/>
      <c r="AL127" s="250"/>
      <c r="AM127" s="279"/>
      <c r="AN127" s="280"/>
      <c r="AO127" s="251"/>
      <c r="AP127" s="263"/>
      <c r="AQ127" s="250"/>
      <c r="AR127" s="250"/>
      <c r="AS127" s="250"/>
      <c r="AT127" s="264"/>
      <c r="AV127" s="247" t="str">
        <f>$B127</f>
        <v>Wereldkampioen</v>
      </c>
      <c r="AW127" s="249"/>
      <c r="AX127" s="249"/>
      <c r="AY127" s="250"/>
      <c r="AZ127" s="279"/>
      <c r="BA127" s="280"/>
      <c r="BB127" s="251"/>
      <c r="BC127" s="263"/>
      <c r="BD127" s="250"/>
      <c r="BE127" s="250"/>
      <c r="BF127" s="250"/>
      <c r="BG127" s="264"/>
      <c r="BI127" s="247" t="str">
        <f>$B127</f>
        <v>Wereldkampioen</v>
      </c>
      <c r="BJ127" s="249"/>
      <c r="BK127" s="249"/>
      <c r="BL127" s="250"/>
      <c r="BM127" s="279"/>
      <c r="BN127" s="280"/>
      <c r="BO127" s="251"/>
      <c r="BP127" s="263"/>
      <c r="BQ127" s="250"/>
      <c r="BR127" s="250"/>
      <c r="BS127" s="250"/>
      <c r="BT127" s="264"/>
      <c r="BV127" s="247" t="str">
        <f>$B127</f>
        <v>Wereldkampioen</v>
      </c>
      <c r="BW127" s="249"/>
      <c r="BX127" s="249"/>
      <c r="BY127" s="250"/>
      <c r="BZ127" s="279"/>
      <c r="CA127" s="280"/>
      <c r="CB127" s="251"/>
      <c r="CC127" s="263"/>
      <c r="CD127" s="250"/>
      <c r="CE127" s="250"/>
      <c r="CF127" s="250"/>
      <c r="CG127" s="264"/>
      <c r="CI127" s="247" t="str">
        <f>$B127</f>
        <v>Wereldkampioen</v>
      </c>
      <c r="CJ127" s="249"/>
      <c r="CK127" s="249"/>
      <c r="CL127" s="250"/>
      <c r="CM127" s="279"/>
      <c r="CN127" s="280"/>
      <c r="CO127" s="251"/>
      <c r="CP127" s="263"/>
      <c r="CQ127" s="250"/>
      <c r="CR127" s="250"/>
      <c r="CS127" s="250"/>
      <c r="CT127" s="264"/>
      <c r="CV127" s="247" t="str">
        <f>$B127</f>
        <v>Wereldkampioen</v>
      </c>
      <c r="CW127" s="249"/>
      <c r="CX127" s="249"/>
      <c r="CY127" s="250"/>
      <c r="CZ127" s="279"/>
      <c r="DA127" s="280"/>
      <c r="DB127" s="251"/>
      <c r="DC127" s="263"/>
      <c r="DD127" s="250"/>
      <c r="DE127" s="250"/>
      <c r="DF127" s="250"/>
      <c r="DG127" s="264"/>
      <c r="DI127" s="247" t="str">
        <f>$B127</f>
        <v>Wereldkampioen</v>
      </c>
      <c r="DJ127" s="249"/>
      <c r="DK127" s="249"/>
      <c r="DL127" s="250"/>
      <c r="DM127" s="279"/>
      <c r="DN127" s="280"/>
      <c r="DO127" s="251"/>
      <c r="DP127" s="263"/>
      <c r="DQ127" s="250"/>
      <c r="DR127" s="250"/>
      <c r="DS127" s="250"/>
      <c r="DT127" s="264"/>
      <c r="DV127" s="247" t="str">
        <f>$B127</f>
        <v>Wereldkampioen</v>
      </c>
      <c r="DW127" s="249"/>
      <c r="DX127" s="249"/>
      <c r="DY127" s="250"/>
      <c r="DZ127" s="279"/>
      <c r="EA127" s="280"/>
      <c r="EB127" s="251"/>
      <c r="EC127" s="263"/>
      <c r="ED127" s="250"/>
      <c r="EE127" s="250"/>
      <c r="EF127" s="250"/>
      <c r="EG127" s="264"/>
      <c r="EI127" s="247" t="str">
        <f>$B127</f>
        <v>Wereldkampioen</v>
      </c>
      <c r="EJ127" s="249"/>
      <c r="EK127" s="249"/>
      <c r="EL127" s="250"/>
      <c r="EM127" s="279"/>
      <c r="EN127" s="280"/>
      <c r="EO127" s="251"/>
      <c r="EP127" s="263"/>
      <c r="EQ127" s="250"/>
      <c r="ER127" s="250"/>
      <c r="ES127" s="250"/>
      <c r="ET127" s="264"/>
      <c r="EV127" s="247" t="str">
        <f>$B127</f>
        <v>Wereldkampioen</v>
      </c>
      <c r="EW127" s="249"/>
      <c r="EX127" s="249"/>
      <c r="EY127" s="250"/>
      <c r="EZ127" s="279"/>
      <c r="FA127" s="280"/>
      <c r="FB127" s="251"/>
      <c r="FC127" s="263"/>
      <c r="FD127" s="250"/>
      <c r="FE127" s="250"/>
      <c r="FF127" s="250"/>
      <c r="FG127" s="264"/>
      <c r="FI127" s="247" t="str">
        <f>$B127</f>
        <v>Wereldkampioen</v>
      </c>
      <c r="FJ127" s="249"/>
      <c r="FK127" s="249"/>
      <c r="FL127" s="250"/>
      <c r="FM127" s="279"/>
      <c r="FN127" s="280"/>
      <c r="FO127" s="251"/>
      <c r="FP127" s="263"/>
      <c r="FQ127" s="250"/>
      <c r="FR127" s="250"/>
      <c r="FS127" s="250"/>
      <c r="FT127" s="264"/>
      <c r="FV127" s="247" t="str">
        <f>$B127</f>
        <v>Wereldkampioen</v>
      </c>
      <c r="FW127" s="249"/>
      <c r="FX127" s="249"/>
      <c r="FY127" s="250"/>
      <c r="FZ127" s="279"/>
      <c r="GA127" s="280"/>
      <c r="GB127" s="251"/>
      <c r="GC127" s="263"/>
      <c r="GD127" s="250"/>
      <c r="GE127" s="250"/>
      <c r="GF127" s="250"/>
      <c r="GG127" s="264"/>
      <c r="GI127" s="247" t="str">
        <f>$B127</f>
        <v>Wereldkampioen</v>
      </c>
      <c r="GJ127" s="249"/>
      <c r="GK127" s="249"/>
      <c r="GL127" s="250"/>
      <c r="GM127" s="279"/>
      <c r="GN127" s="280"/>
      <c r="GO127" s="251"/>
      <c r="GP127" s="263"/>
      <c r="GQ127" s="250"/>
      <c r="GR127" s="250"/>
      <c r="GS127" s="250"/>
      <c r="GT127" s="264"/>
      <c r="GV127" s="247" t="str">
        <f>$B127</f>
        <v>Wereldkampioen</v>
      </c>
      <c r="GW127" s="249"/>
      <c r="GX127" s="249"/>
      <c r="GY127" s="250"/>
      <c r="GZ127" s="279"/>
      <c r="HA127" s="280"/>
      <c r="HB127" s="251"/>
      <c r="HC127" s="263"/>
      <c r="HD127" s="250"/>
      <c r="HE127" s="250"/>
      <c r="HF127" s="250"/>
      <c r="HG127" s="264"/>
      <c r="HI127" s="247" t="str">
        <f>$B127</f>
        <v>Wereldkampioen</v>
      </c>
      <c r="HJ127" s="249"/>
      <c r="HK127" s="249"/>
      <c r="HL127" s="250"/>
      <c r="HM127" s="279"/>
      <c r="HN127" s="280"/>
      <c r="HO127" s="251"/>
      <c r="HP127" s="263"/>
      <c r="HQ127" s="250"/>
      <c r="HR127" s="250"/>
      <c r="HS127" s="250"/>
      <c r="HT127" s="264"/>
      <c r="HV127" s="247" t="str">
        <f>$B127</f>
        <v>Wereldkampioen</v>
      </c>
      <c r="HW127" s="249"/>
      <c r="HX127" s="249"/>
      <c r="HY127" s="250"/>
      <c r="HZ127" s="279"/>
      <c r="IA127" s="280"/>
      <c r="IB127" s="251"/>
      <c r="IC127" s="263"/>
      <c r="ID127" s="250"/>
      <c r="IE127" s="250"/>
      <c r="IF127" s="250"/>
      <c r="IG127" s="264"/>
      <c r="II127" s="247" t="str">
        <f>$B127</f>
        <v>Wereldkampioen</v>
      </c>
      <c r="IJ127" s="249"/>
      <c r="IK127" s="249"/>
      <c r="IL127" s="250"/>
      <c r="IM127" s="279"/>
      <c r="IN127" s="280"/>
      <c r="IO127" s="251"/>
      <c r="IP127" s="263"/>
      <c r="IQ127" s="250"/>
      <c r="IR127" s="250"/>
      <c r="IS127" s="250"/>
      <c r="IT127" s="264"/>
      <c r="IV127" s="247" t="str">
        <f>$B127</f>
        <v>Wereldkampioen</v>
      </c>
      <c r="IW127" s="249"/>
      <c r="IX127" s="249"/>
      <c r="IY127" s="250"/>
      <c r="IZ127" s="279"/>
      <c r="JA127" s="280"/>
      <c r="JB127" s="251"/>
      <c r="JC127" s="263"/>
      <c r="JD127" s="250"/>
      <c r="JE127" s="250"/>
      <c r="JF127" s="250"/>
      <c r="JG127" s="264"/>
      <c r="JI127" s="247" t="str">
        <f>$B127</f>
        <v>Wereldkampioen</v>
      </c>
      <c r="JJ127" s="249"/>
      <c r="JK127" s="249"/>
      <c r="JL127" s="250"/>
      <c r="JM127" s="279"/>
      <c r="JN127" s="280"/>
      <c r="JO127" s="251"/>
      <c r="JP127" s="263"/>
      <c r="JQ127" s="250"/>
      <c r="JR127" s="250"/>
      <c r="JS127" s="250"/>
      <c r="JT127" s="264"/>
      <c r="JV127" s="247" t="str">
        <f>$B127</f>
        <v>Wereldkampioen</v>
      </c>
      <c r="JW127" s="249"/>
      <c r="JX127" s="249"/>
      <c r="JY127" s="250"/>
      <c r="JZ127" s="279"/>
      <c r="KA127" s="280"/>
      <c r="KB127" s="251"/>
      <c r="KC127" s="263"/>
      <c r="KD127" s="250"/>
      <c r="KE127" s="250"/>
      <c r="KF127" s="250"/>
      <c r="KG127" s="264"/>
      <c r="KI127" s="247" t="str">
        <f>$B127</f>
        <v>Wereldkampioen</v>
      </c>
      <c r="KJ127" s="249"/>
      <c r="KK127" s="249"/>
      <c r="KL127" s="250"/>
      <c r="KM127" s="279"/>
      <c r="KN127" s="280"/>
      <c r="KO127" s="251"/>
      <c r="KP127" s="263"/>
      <c r="KQ127" s="250"/>
      <c r="KR127" s="250"/>
      <c r="KS127" s="250"/>
      <c r="KT127" s="264"/>
      <c r="KV127" s="247" t="str">
        <f>$B127</f>
        <v>Wereldkampioen</v>
      </c>
      <c r="KW127" s="249"/>
      <c r="KX127" s="249"/>
      <c r="KY127" s="250"/>
      <c r="KZ127" s="279"/>
      <c r="LA127" s="280"/>
      <c r="LB127" s="251"/>
      <c r="LC127" s="263"/>
      <c r="LD127" s="250"/>
      <c r="LE127" s="250"/>
      <c r="LF127" s="250"/>
      <c r="LG127" s="264"/>
      <c r="LI127" s="247" t="str">
        <f>$B127</f>
        <v>Wereldkampioen</v>
      </c>
      <c r="LJ127" s="249"/>
      <c r="LK127" s="249"/>
      <c r="LL127" s="250"/>
      <c r="LM127" s="279"/>
      <c r="LN127" s="280"/>
      <c r="LO127" s="251"/>
      <c r="LP127" s="263"/>
      <c r="LQ127" s="250"/>
      <c r="LR127" s="250"/>
      <c r="LS127" s="250"/>
      <c r="LT127" s="264"/>
      <c r="LV127" s="247" t="str">
        <f>$B127</f>
        <v>Wereldkampioen</v>
      </c>
      <c r="LW127" s="249"/>
      <c r="LX127" s="249"/>
      <c r="LY127" s="250"/>
      <c r="LZ127" s="279"/>
      <c r="MA127" s="280"/>
      <c r="MB127" s="251"/>
      <c r="MC127" s="263"/>
      <c r="MD127" s="250"/>
      <c r="ME127" s="250"/>
      <c r="MF127" s="250"/>
      <c r="MG127" s="264"/>
    </row>
    <row r="128" spans="1:345" ht="16.5" thickBot="1">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c r="L129" s="307"/>
      <c r="M129" s="308"/>
      <c r="N129" s="308"/>
      <c r="O129" s="259" t="str">
        <f>Language!$E$219</f>
        <v>Finale</v>
      </c>
      <c r="P129" s="259" t="str">
        <f>Language!$E$210</f>
        <v>W/G/V</v>
      </c>
      <c r="Q129" s="259" t="str">
        <f>Language!$E$211</f>
        <v>DS</v>
      </c>
      <c r="R129" s="259" t="str">
        <f>Language!$E$212</f>
        <v>exact</v>
      </c>
      <c r="S129" s="259" t="str">
        <f>Language!$E$224</f>
        <v>grote aant.</v>
      </c>
      <c r="T129" s="260" t="str">
        <f>Language!$E$213</f>
        <v>teams</v>
      </c>
      <c r="Y129" s="307"/>
      <c r="Z129" s="308"/>
      <c r="AA129" s="308"/>
      <c r="AB129" s="259" t="str">
        <f>Language!$E$219</f>
        <v>Finale</v>
      </c>
      <c r="AC129" s="259" t="str">
        <f>Language!$E$210</f>
        <v>W/G/V</v>
      </c>
      <c r="AD129" s="259" t="str">
        <f>Language!$E$211</f>
        <v>DS</v>
      </c>
      <c r="AE129" s="259" t="str">
        <f>Language!$E$212</f>
        <v>exact</v>
      </c>
      <c r="AF129" s="259" t="str">
        <f>Language!$E$224</f>
        <v>grote aant.</v>
      </c>
      <c r="AG129" s="260" t="str">
        <f>Language!$E$213</f>
        <v>teams</v>
      </c>
      <c r="AL129" s="307"/>
      <c r="AM129" s="308"/>
      <c r="AN129" s="308"/>
      <c r="AO129" s="259" t="str">
        <f>Language!$E$219</f>
        <v>Finale</v>
      </c>
      <c r="AP129" s="259" t="str">
        <f>Language!$E$210</f>
        <v>W/G/V</v>
      </c>
      <c r="AQ129" s="259" t="str">
        <f>Language!$E$211</f>
        <v>DS</v>
      </c>
      <c r="AR129" s="259" t="str">
        <f>Language!$E$212</f>
        <v>exact</v>
      </c>
      <c r="AS129" s="259" t="str">
        <f>Language!$E$224</f>
        <v>grote aant.</v>
      </c>
      <c r="AT129" s="260" t="str">
        <f>Language!$E$213</f>
        <v>teams</v>
      </c>
      <c r="AY129" s="307"/>
      <c r="AZ129" s="308"/>
      <c r="BA129" s="308"/>
      <c r="BB129" s="259" t="str">
        <f>Language!$E$219</f>
        <v>Finale</v>
      </c>
      <c r="BC129" s="259" t="str">
        <f>Language!$E$210</f>
        <v>W/G/V</v>
      </c>
      <c r="BD129" s="259" t="str">
        <f>Language!$E$211</f>
        <v>DS</v>
      </c>
      <c r="BE129" s="259" t="str">
        <f>Language!$E$212</f>
        <v>exact</v>
      </c>
      <c r="BF129" s="259" t="str">
        <f>Language!$E$224</f>
        <v>grote aant.</v>
      </c>
      <c r="BG129" s="260" t="str">
        <f>Language!$E$213</f>
        <v>teams</v>
      </c>
      <c r="BL129" s="307"/>
      <c r="BM129" s="308"/>
      <c r="BN129" s="308"/>
      <c r="BO129" s="259" t="str">
        <f>Language!$E$219</f>
        <v>Finale</v>
      </c>
      <c r="BP129" s="259" t="str">
        <f>Language!$E$210</f>
        <v>W/G/V</v>
      </c>
      <c r="BQ129" s="259" t="str">
        <f>Language!$E$211</f>
        <v>DS</v>
      </c>
      <c r="BR129" s="259" t="str">
        <f>Language!$E$212</f>
        <v>exact</v>
      </c>
      <c r="BS129" s="259" t="str">
        <f>Language!$E$224</f>
        <v>grote aant.</v>
      </c>
      <c r="BT129" s="260" t="str">
        <f>Language!$E$213</f>
        <v>teams</v>
      </c>
      <c r="BY129" s="307"/>
      <c r="BZ129" s="308"/>
      <c r="CA129" s="308"/>
      <c r="CB129" s="259" t="str">
        <f>Language!$E$219</f>
        <v>Finale</v>
      </c>
      <c r="CC129" s="259" t="str">
        <f>Language!$E$210</f>
        <v>W/G/V</v>
      </c>
      <c r="CD129" s="259" t="str">
        <f>Language!$E$211</f>
        <v>DS</v>
      </c>
      <c r="CE129" s="259" t="str">
        <f>Language!$E$212</f>
        <v>exact</v>
      </c>
      <c r="CF129" s="259" t="str">
        <f>Language!$E$224</f>
        <v>grote aant.</v>
      </c>
      <c r="CG129" s="260" t="str">
        <f>Language!$E$213</f>
        <v>teams</v>
      </c>
      <c r="CL129" s="307"/>
      <c r="CM129" s="308"/>
      <c r="CN129" s="308"/>
      <c r="CO129" s="259" t="str">
        <f>Language!$E$219</f>
        <v>Finale</v>
      </c>
      <c r="CP129" s="259" t="str">
        <f>Language!$E$210</f>
        <v>W/G/V</v>
      </c>
      <c r="CQ129" s="259" t="str">
        <f>Language!$E$211</f>
        <v>DS</v>
      </c>
      <c r="CR129" s="259" t="str">
        <f>Language!$E$212</f>
        <v>exact</v>
      </c>
      <c r="CS129" s="259" t="str">
        <f>Language!$E$224</f>
        <v>grote aant.</v>
      </c>
      <c r="CT129" s="260" t="str">
        <f>Language!$E$213</f>
        <v>teams</v>
      </c>
      <c r="CY129" s="307"/>
      <c r="CZ129" s="308"/>
      <c r="DA129" s="308"/>
      <c r="DB129" s="259" t="str">
        <f>Language!$E$219</f>
        <v>Finale</v>
      </c>
      <c r="DC129" s="259" t="str">
        <f>Language!$E$210</f>
        <v>W/G/V</v>
      </c>
      <c r="DD129" s="259" t="str">
        <f>Language!$E$211</f>
        <v>DS</v>
      </c>
      <c r="DE129" s="259" t="str">
        <f>Language!$E$212</f>
        <v>exact</v>
      </c>
      <c r="DF129" s="259" t="str">
        <f>Language!$E$224</f>
        <v>grote aant.</v>
      </c>
      <c r="DG129" s="260" t="str">
        <f>Language!$E$213</f>
        <v>teams</v>
      </c>
      <c r="DL129" s="307"/>
      <c r="DM129" s="308"/>
      <c r="DN129" s="308"/>
      <c r="DO129" s="259" t="str">
        <f>Language!$E$219</f>
        <v>Finale</v>
      </c>
      <c r="DP129" s="259" t="str">
        <f>Language!$E$210</f>
        <v>W/G/V</v>
      </c>
      <c r="DQ129" s="259" t="str">
        <f>Language!$E$211</f>
        <v>DS</v>
      </c>
      <c r="DR129" s="259" t="str">
        <f>Language!$E$212</f>
        <v>exact</v>
      </c>
      <c r="DS129" s="259" t="str">
        <f>Language!$E$224</f>
        <v>grote aant.</v>
      </c>
      <c r="DT129" s="260" t="str">
        <f>Language!$E$213</f>
        <v>teams</v>
      </c>
      <c r="DY129" s="307"/>
      <c r="DZ129" s="308"/>
      <c r="EA129" s="308"/>
      <c r="EB129" s="259" t="str">
        <f>Language!$E$219</f>
        <v>Finale</v>
      </c>
      <c r="EC129" s="259" t="str">
        <f>Language!$E$210</f>
        <v>W/G/V</v>
      </c>
      <c r="ED129" s="259" t="str">
        <f>Language!$E$211</f>
        <v>DS</v>
      </c>
      <c r="EE129" s="259" t="str">
        <f>Language!$E$212</f>
        <v>exact</v>
      </c>
      <c r="EF129" s="259" t="str">
        <f>Language!$E$224</f>
        <v>grote aant.</v>
      </c>
      <c r="EG129" s="260" t="str">
        <f>Language!$E$213</f>
        <v>teams</v>
      </c>
      <c r="EL129" s="307"/>
      <c r="EM129" s="308"/>
      <c r="EN129" s="308"/>
      <c r="EO129" s="259" t="str">
        <f>Language!$E$219</f>
        <v>Finale</v>
      </c>
      <c r="EP129" s="259" t="str">
        <f>Language!$E$210</f>
        <v>W/G/V</v>
      </c>
      <c r="EQ129" s="259" t="str">
        <f>Language!$E$211</f>
        <v>DS</v>
      </c>
      <c r="ER129" s="259" t="str">
        <f>Language!$E$212</f>
        <v>exact</v>
      </c>
      <c r="ES129" s="259" t="str">
        <f>Language!$E$224</f>
        <v>grote aant.</v>
      </c>
      <c r="ET129" s="260" t="str">
        <f>Language!$E$213</f>
        <v>teams</v>
      </c>
      <c r="EY129" s="307"/>
      <c r="EZ129" s="308"/>
      <c r="FA129" s="308"/>
      <c r="FB129" s="259" t="str">
        <f>Language!$E$219</f>
        <v>Finale</v>
      </c>
      <c r="FC129" s="259" t="str">
        <f>Language!$E$210</f>
        <v>W/G/V</v>
      </c>
      <c r="FD129" s="259" t="str">
        <f>Language!$E$211</f>
        <v>DS</v>
      </c>
      <c r="FE129" s="259" t="str">
        <f>Language!$E$212</f>
        <v>exact</v>
      </c>
      <c r="FF129" s="259" t="str">
        <f>Language!$E$224</f>
        <v>grote aant.</v>
      </c>
      <c r="FG129" s="260" t="str">
        <f>Language!$E$213</f>
        <v>teams</v>
      </c>
      <c r="FL129" s="307"/>
      <c r="FM129" s="308"/>
      <c r="FN129" s="308"/>
      <c r="FO129" s="259" t="str">
        <f>Language!$E$219</f>
        <v>Finale</v>
      </c>
      <c r="FP129" s="259" t="str">
        <f>Language!$E$210</f>
        <v>W/G/V</v>
      </c>
      <c r="FQ129" s="259" t="str">
        <f>Language!$E$211</f>
        <v>DS</v>
      </c>
      <c r="FR129" s="259" t="str">
        <f>Language!$E$212</f>
        <v>exact</v>
      </c>
      <c r="FS129" s="259" t="str">
        <f>Language!$E$224</f>
        <v>grote aant.</v>
      </c>
      <c r="FT129" s="260" t="str">
        <f>Language!$E$213</f>
        <v>teams</v>
      </c>
      <c r="FY129" s="307"/>
      <c r="FZ129" s="308"/>
      <c r="GA129" s="308"/>
      <c r="GB129" s="259" t="str">
        <f>Language!$E$219</f>
        <v>Finale</v>
      </c>
      <c r="GC129" s="259" t="str">
        <f>Language!$E$210</f>
        <v>W/G/V</v>
      </c>
      <c r="GD129" s="259" t="str">
        <f>Language!$E$211</f>
        <v>DS</v>
      </c>
      <c r="GE129" s="259" t="str">
        <f>Language!$E$212</f>
        <v>exact</v>
      </c>
      <c r="GF129" s="259" t="str">
        <f>Language!$E$224</f>
        <v>grote aant.</v>
      </c>
      <c r="GG129" s="260" t="str">
        <f>Language!$E$213</f>
        <v>teams</v>
      </c>
      <c r="GL129" s="307"/>
      <c r="GM129" s="308"/>
      <c r="GN129" s="308"/>
      <c r="GO129" s="259" t="str">
        <f>Language!$E$219</f>
        <v>Finale</v>
      </c>
      <c r="GP129" s="259" t="str">
        <f>Language!$E$210</f>
        <v>W/G/V</v>
      </c>
      <c r="GQ129" s="259" t="str">
        <f>Language!$E$211</f>
        <v>DS</v>
      </c>
      <c r="GR129" s="259" t="str">
        <f>Language!$E$212</f>
        <v>exact</v>
      </c>
      <c r="GS129" s="259" t="str">
        <f>Language!$E$224</f>
        <v>grote aant.</v>
      </c>
      <c r="GT129" s="260" t="str">
        <f>Language!$E$213</f>
        <v>teams</v>
      </c>
      <c r="GY129" s="307"/>
      <c r="GZ129" s="308"/>
      <c r="HA129" s="308"/>
      <c r="HB129" s="259" t="str">
        <f>Language!$E$219</f>
        <v>Finale</v>
      </c>
      <c r="HC129" s="259" t="str">
        <f>Language!$E$210</f>
        <v>W/G/V</v>
      </c>
      <c r="HD129" s="259" t="str">
        <f>Language!$E$211</f>
        <v>DS</v>
      </c>
      <c r="HE129" s="259" t="str">
        <f>Language!$E$212</f>
        <v>exact</v>
      </c>
      <c r="HF129" s="259" t="str">
        <f>Language!$E$224</f>
        <v>grote aant.</v>
      </c>
      <c r="HG129" s="260" t="str">
        <f>Language!$E$213</f>
        <v>teams</v>
      </c>
      <c r="HL129" s="307"/>
      <c r="HM129" s="308"/>
      <c r="HN129" s="308"/>
      <c r="HO129" s="259" t="str">
        <f>Language!$E$219</f>
        <v>Finale</v>
      </c>
      <c r="HP129" s="259" t="str">
        <f>Language!$E$210</f>
        <v>W/G/V</v>
      </c>
      <c r="HQ129" s="259" t="str">
        <f>Language!$E$211</f>
        <v>DS</v>
      </c>
      <c r="HR129" s="259" t="str">
        <f>Language!$E$212</f>
        <v>exact</v>
      </c>
      <c r="HS129" s="259" t="str">
        <f>Language!$E$224</f>
        <v>grote aant.</v>
      </c>
      <c r="HT129" s="260" t="str">
        <f>Language!$E$213</f>
        <v>teams</v>
      </c>
      <c r="HY129" s="307"/>
      <c r="HZ129" s="308"/>
      <c r="IA129" s="308"/>
      <c r="IB129" s="259" t="str">
        <f>Language!$E$219</f>
        <v>Finale</v>
      </c>
      <c r="IC129" s="259" t="str">
        <f>Language!$E$210</f>
        <v>W/G/V</v>
      </c>
      <c r="ID129" s="259" t="str">
        <f>Language!$E$211</f>
        <v>DS</v>
      </c>
      <c r="IE129" s="259" t="str">
        <f>Language!$E$212</f>
        <v>exact</v>
      </c>
      <c r="IF129" s="259" t="str">
        <f>Language!$E$224</f>
        <v>grote aant.</v>
      </c>
      <c r="IG129" s="260" t="str">
        <f>Language!$E$213</f>
        <v>teams</v>
      </c>
      <c r="IL129" s="307"/>
      <c r="IM129" s="308"/>
      <c r="IN129" s="308"/>
      <c r="IO129" s="259" t="str">
        <f>Language!$E$219</f>
        <v>Finale</v>
      </c>
      <c r="IP129" s="259" t="str">
        <f>Language!$E$210</f>
        <v>W/G/V</v>
      </c>
      <c r="IQ129" s="259" t="str">
        <f>Language!$E$211</f>
        <v>DS</v>
      </c>
      <c r="IR129" s="259" t="str">
        <f>Language!$E$212</f>
        <v>exact</v>
      </c>
      <c r="IS129" s="259" t="str">
        <f>Language!$E$224</f>
        <v>grote aant.</v>
      </c>
      <c r="IT129" s="260" t="str">
        <f>Language!$E$213</f>
        <v>teams</v>
      </c>
      <c r="IY129" s="307"/>
      <c r="IZ129" s="308"/>
      <c r="JA129" s="308"/>
      <c r="JB129" s="259" t="str">
        <f>Language!$E$219</f>
        <v>Finale</v>
      </c>
      <c r="JC129" s="259" t="str">
        <f>Language!$E$210</f>
        <v>W/G/V</v>
      </c>
      <c r="JD129" s="259" t="str">
        <f>Language!$E$211</f>
        <v>DS</v>
      </c>
      <c r="JE129" s="259" t="str">
        <f>Language!$E$212</f>
        <v>exact</v>
      </c>
      <c r="JF129" s="259" t="str">
        <f>Language!$E$224</f>
        <v>grote aant.</v>
      </c>
      <c r="JG129" s="260" t="str">
        <f>Language!$E$213</f>
        <v>teams</v>
      </c>
      <c r="JL129" s="307"/>
      <c r="JM129" s="308"/>
      <c r="JN129" s="308"/>
      <c r="JO129" s="259" t="str">
        <f>Language!$E$219</f>
        <v>Finale</v>
      </c>
      <c r="JP129" s="259" t="str">
        <f>Language!$E$210</f>
        <v>W/G/V</v>
      </c>
      <c r="JQ129" s="259" t="str">
        <f>Language!$E$211</f>
        <v>DS</v>
      </c>
      <c r="JR129" s="259" t="str">
        <f>Language!$E$212</f>
        <v>exact</v>
      </c>
      <c r="JS129" s="259" t="str">
        <f>Language!$E$224</f>
        <v>grote aant.</v>
      </c>
      <c r="JT129" s="260" t="str">
        <f>Language!$E$213</f>
        <v>teams</v>
      </c>
      <c r="JY129" s="307"/>
      <c r="JZ129" s="308"/>
      <c r="KA129" s="308"/>
      <c r="KB129" s="259" t="str">
        <f>Language!$E$219</f>
        <v>Finale</v>
      </c>
      <c r="KC129" s="259" t="str">
        <f>Language!$E$210</f>
        <v>W/G/V</v>
      </c>
      <c r="KD129" s="259" t="str">
        <f>Language!$E$211</f>
        <v>DS</v>
      </c>
      <c r="KE129" s="259" t="str">
        <f>Language!$E$212</f>
        <v>exact</v>
      </c>
      <c r="KF129" s="259" t="str">
        <f>Language!$E$224</f>
        <v>grote aant.</v>
      </c>
      <c r="KG129" s="260" t="str">
        <f>Language!$E$213</f>
        <v>teams</v>
      </c>
      <c r="KL129" s="307"/>
      <c r="KM129" s="308"/>
      <c r="KN129" s="308"/>
      <c r="KO129" s="259" t="str">
        <f>Language!$E$219</f>
        <v>Finale</v>
      </c>
      <c r="KP129" s="259" t="str">
        <f>Language!$E$210</f>
        <v>W/G/V</v>
      </c>
      <c r="KQ129" s="259" t="str">
        <f>Language!$E$211</f>
        <v>DS</v>
      </c>
      <c r="KR129" s="259" t="str">
        <f>Language!$E$212</f>
        <v>exact</v>
      </c>
      <c r="KS129" s="259" t="str">
        <f>Language!$E$224</f>
        <v>grote aant.</v>
      </c>
      <c r="KT129" s="260" t="str">
        <f>Language!$E$213</f>
        <v>teams</v>
      </c>
      <c r="KY129" s="307"/>
      <c r="KZ129" s="308"/>
      <c r="LA129" s="308"/>
      <c r="LB129" s="259" t="str">
        <f>Language!$E$219</f>
        <v>Finale</v>
      </c>
      <c r="LC129" s="259" t="str">
        <f>Language!$E$210</f>
        <v>W/G/V</v>
      </c>
      <c r="LD129" s="259" t="str">
        <f>Language!$E$211</f>
        <v>DS</v>
      </c>
      <c r="LE129" s="259" t="str">
        <f>Language!$E$212</f>
        <v>exact</v>
      </c>
      <c r="LF129" s="259" t="str">
        <f>Language!$E$224</f>
        <v>grote aant.</v>
      </c>
      <c r="LG129" s="260" t="str">
        <f>Language!$E$213</f>
        <v>teams</v>
      </c>
      <c r="LL129" s="307"/>
      <c r="LM129" s="308"/>
      <c r="LN129" s="308"/>
      <c r="LO129" s="259" t="str">
        <f>Language!$E$219</f>
        <v>Finale</v>
      </c>
      <c r="LP129" s="259" t="str">
        <f>Language!$E$210</f>
        <v>W/G/V</v>
      </c>
      <c r="LQ129" s="259" t="str">
        <f>Language!$E$211</f>
        <v>DS</v>
      </c>
      <c r="LR129" s="259" t="str">
        <f>Language!$E$212</f>
        <v>exact</v>
      </c>
      <c r="LS129" s="259" t="str">
        <f>Language!$E$224</f>
        <v>grote aant.</v>
      </c>
      <c r="LT129" s="260" t="str">
        <f>Language!$E$213</f>
        <v>teams</v>
      </c>
      <c r="LY129" s="307"/>
      <c r="LZ129" s="308"/>
      <c r="MA129" s="308"/>
      <c r="MB129" s="259" t="str">
        <f>Language!$E$219</f>
        <v>Finale</v>
      </c>
      <c r="MC129" s="259" t="str">
        <f>Language!$E$210</f>
        <v>W/G/V</v>
      </c>
      <c r="MD129" s="259" t="str">
        <f>Language!$E$211</f>
        <v>DS</v>
      </c>
      <c r="ME129" s="259" t="str">
        <f>Language!$E$212</f>
        <v>exact</v>
      </c>
      <c r="MF129" s="259" t="str">
        <f>Language!$E$224</f>
        <v>grote aant.</v>
      </c>
      <c r="MG129" s="260" t="str">
        <f>Language!$E$213</f>
        <v>teams</v>
      </c>
    </row>
    <row r="130" spans="2:345">
      <c r="L130" s="1320" t="str">
        <f>Language!$E$245</f>
        <v>Nummer:</v>
      </c>
      <c r="M130" s="1321"/>
      <c r="N130" s="1322"/>
      <c r="O130" s="240">
        <f>SUM(O124:O126)</f>
        <v>0</v>
      </c>
      <c r="P130" s="240">
        <f>SUM(P6:P36)</f>
        <v>0</v>
      </c>
      <c r="Q130" s="240">
        <f>SUM(Q6:Q36)</f>
        <v>0</v>
      </c>
      <c r="R130" s="240">
        <f>SUM(R6:R36)</f>
        <v>0</v>
      </c>
      <c r="S130" s="240">
        <f>SUM(S6:S36)</f>
        <v>0</v>
      </c>
      <c r="T130" s="591">
        <f>SUM(T90:T126)</f>
        <v>0</v>
      </c>
      <c r="Y130" s="1320" t="str">
        <f>Language!$E$245</f>
        <v>Nummer:</v>
      </c>
      <c r="Z130" s="1321"/>
      <c r="AA130" s="1322"/>
      <c r="AB130" s="240">
        <f>SUM(AB124:AB126)</f>
        <v>0</v>
      </c>
      <c r="AC130" s="240">
        <f>SUM(AC6:AC36)</f>
        <v>0</v>
      </c>
      <c r="AD130" s="240">
        <f>SUM(AD6:AD36)</f>
        <v>0</v>
      </c>
      <c r="AE130" s="240">
        <f>SUM(AE6:AE36)</f>
        <v>0</v>
      </c>
      <c r="AF130" s="240">
        <f>SUM(AF6:AF36)</f>
        <v>0</v>
      </c>
      <c r="AG130" s="591">
        <f>SUM(AG90:AG126)</f>
        <v>0</v>
      </c>
      <c r="AL130" s="1320" t="str">
        <f>Language!$E$245</f>
        <v>Nummer:</v>
      </c>
      <c r="AM130" s="1321"/>
      <c r="AN130" s="1322"/>
      <c r="AO130" s="240">
        <f>SUM(AO124:AO126)</f>
        <v>0</v>
      </c>
      <c r="AP130" s="240">
        <f>SUM(AP6:AP36)</f>
        <v>0</v>
      </c>
      <c r="AQ130" s="240">
        <f>SUM(AQ6:AQ36)</f>
        <v>0</v>
      </c>
      <c r="AR130" s="240">
        <f>SUM(AR6:AR36)</f>
        <v>0</v>
      </c>
      <c r="AS130" s="240">
        <f>SUM(AS6:AS36)</f>
        <v>0</v>
      </c>
      <c r="AT130" s="591">
        <f>SUM(AT90:AT126)</f>
        <v>0</v>
      </c>
      <c r="AY130" s="1320" t="str">
        <f>Language!$E$245</f>
        <v>Nummer:</v>
      </c>
      <c r="AZ130" s="1321"/>
      <c r="BA130" s="1322"/>
      <c r="BB130" s="240">
        <f>SUM(BB124:BB126)</f>
        <v>0</v>
      </c>
      <c r="BC130" s="240">
        <f>SUM(BC6:BC36)</f>
        <v>0</v>
      </c>
      <c r="BD130" s="240">
        <f>SUM(BD6:BD36)</f>
        <v>0</v>
      </c>
      <c r="BE130" s="240">
        <f>SUM(BE6:BE36)</f>
        <v>0</v>
      </c>
      <c r="BF130" s="240">
        <f>SUM(BF6:BF36)</f>
        <v>0</v>
      </c>
      <c r="BG130" s="591">
        <f>SUM(BG90:BG126)</f>
        <v>0</v>
      </c>
      <c r="BL130" s="1320" t="str">
        <f>Language!$E$245</f>
        <v>Nummer:</v>
      </c>
      <c r="BM130" s="1321"/>
      <c r="BN130" s="1322"/>
      <c r="BO130" s="240">
        <f>SUM(BO124:BO126)</f>
        <v>0</v>
      </c>
      <c r="BP130" s="240">
        <f>SUM(BP6:BP36)</f>
        <v>0</v>
      </c>
      <c r="BQ130" s="240">
        <f>SUM(BQ6:BQ36)</f>
        <v>0</v>
      </c>
      <c r="BR130" s="240">
        <f>SUM(BR6:BR36)</f>
        <v>0</v>
      </c>
      <c r="BS130" s="240">
        <f>SUM(BS6:BS36)</f>
        <v>0</v>
      </c>
      <c r="BT130" s="591">
        <f>SUM(BT90:BT126)</f>
        <v>0</v>
      </c>
      <c r="BY130" s="1320" t="str">
        <f>Language!$E$245</f>
        <v>Nummer:</v>
      </c>
      <c r="BZ130" s="1321"/>
      <c r="CA130" s="1322"/>
      <c r="CB130" s="240">
        <f>SUM(CB124:CB126)</f>
        <v>0</v>
      </c>
      <c r="CC130" s="240">
        <f>SUM(CC6:CC36)</f>
        <v>0</v>
      </c>
      <c r="CD130" s="240">
        <f>SUM(CD6:CD36)</f>
        <v>0</v>
      </c>
      <c r="CE130" s="240">
        <f>SUM(CE6:CE36)</f>
        <v>0</v>
      </c>
      <c r="CF130" s="240">
        <f>SUM(CF6:CF36)</f>
        <v>0</v>
      </c>
      <c r="CG130" s="591">
        <f>SUM(CG90:CG126)</f>
        <v>0</v>
      </c>
      <c r="CL130" s="1320" t="str">
        <f>Language!$E$245</f>
        <v>Nummer:</v>
      </c>
      <c r="CM130" s="1321"/>
      <c r="CN130" s="1322"/>
      <c r="CO130" s="240">
        <f>SUM(CO124:CO126)</f>
        <v>0</v>
      </c>
      <c r="CP130" s="240">
        <f>SUM(CP6:CP36)</f>
        <v>0</v>
      </c>
      <c r="CQ130" s="240">
        <f>SUM(CQ6:CQ36)</f>
        <v>0</v>
      </c>
      <c r="CR130" s="240">
        <f>SUM(CR6:CR36)</f>
        <v>0</v>
      </c>
      <c r="CS130" s="240">
        <f>SUM(CS6:CS36)</f>
        <v>0</v>
      </c>
      <c r="CT130" s="591">
        <f>SUM(CT90:CT126)</f>
        <v>0</v>
      </c>
      <c r="CY130" s="1320" t="str">
        <f>Language!$E$245</f>
        <v>Nummer:</v>
      </c>
      <c r="CZ130" s="1321"/>
      <c r="DA130" s="1322"/>
      <c r="DB130" s="240">
        <f>SUM(DB124:DB126)</f>
        <v>0</v>
      </c>
      <c r="DC130" s="240">
        <f>SUM(DC6:DC36)</f>
        <v>0</v>
      </c>
      <c r="DD130" s="240">
        <f>SUM(DD6:DD36)</f>
        <v>0</v>
      </c>
      <c r="DE130" s="240">
        <f>SUM(DE6:DE36)</f>
        <v>0</v>
      </c>
      <c r="DF130" s="240">
        <f>SUM(DF6:DF36)</f>
        <v>0</v>
      </c>
      <c r="DG130" s="591">
        <f>SUM(DG90:DG126)</f>
        <v>0</v>
      </c>
      <c r="DL130" s="1320" t="str">
        <f>Language!$E$245</f>
        <v>Nummer:</v>
      </c>
      <c r="DM130" s="1321"/>
      <c r="DN130" s="1322"/>
      <c r="DO130" s="240">
        <f>SUM(DO124:DO126)</f>
        <v>0</v>
      </c>
      <c r="DP130" s="240">
        <f>SUM(DP6:DP36)</f>
        <v>0</v>
      </c>
      <c r="DQ130" s="240">
        <f>SUM(DQ6:DQ36)</f>
        <v>0</v>
      </c>
      <c r="DR130" s="240">
        <f>SUM(DR6:DR36)</f>
        <v>0</v>
      </c>
      <c r="DS130" s="240">
        <f>SUM(DS6:DS36)</f>
        <v>0</v>
      </c>
      <c r="DT130" s="591">
        <f>SUM(DT90:DT126)</f>
        <v>0</v>
      </c>
      <c r="DY130" s="1320" t="str">
        <f>Language!$E$245</f>
        <v>Nummer:</v>
      </c>
      <c r="DZ130" s="1321"/>
      <c r="EA130" s="1322"/>
      <c r="EB130" s="240">
        <f>SUM(EB124:EB126)</f>
        <v>0</v>
      </c>
      <c r="EC130" s="240">
        <f>SUM(EC6:EC36)</f>
        <v>0</v>
      </c>
      <c r="ED130" s="240">
        <f>SUM(ED6:ED36)</f>
        <v>0</v>
      </c>
      <c r="EE130" s="240">
        <f>SUM(EE6:EE36)</f>
        <v>0</v>
      </c>
      <c r="EF130" s="240">
        <f>SUM(EF6:EF36)</f>
        <v>0</v>
      </c>
      <c r="EG130" s="591">
        <f>SUM(EG90:EG126)</f>
        <v>0</v>
      </c>
      <c r="EL130" s="1320" t="str">
        <f>Language!$E$245</f>
        <v>Nummer:</v>
      </c>
      <c r="EM130" s="1321"/>
      <c r="EN130" s="1322"/>
      <c r="EO130" s="240">
        <f>SUM(EO124:EO126)</f>
        <v>0</v>
      </c>
      <c r="EP130" s="240">
        <f>SUM(EP6:EP36)</f>
        <v>0</v>
      </c>
      <c r="EQ130" s="240">
        <f>SUM(EQ6:EQ36)</f>
        <v>0</v>
      </c>
      <c r="ER130" s="240">
        <f>SUM(ER6:ER36)</f>
        <v>0</v>
      </c>
      <c r="ES130" s="240">
        <f>SUM(ES6:ES36)</f>
        <v>0</v>
      </c>
      <c r="ET130" s="591">
        <f>SUM(ET90:ET126)</f>
        <v>0</v>
      </c>
      <c r="EY130" s="1320" t="str">
        <f>Language!$E$245</f>
        <v>Nummer:</v>
      </c>
      <c r="EZ130" s="1321"/>
      <c r="FA130" s="1322"/>
      <c r="FB130" s="240">
        <f>SUM(FB124:FB126)</f>
        <v>0</v>
      </c>
      <c r="FC130" s="240">
        <f>SUM(FC6:FC36)</f>
        <v>0</v>
      </c>
      <c r="FD130" s="240">
        <f>SUM(FD6:FD36)</f>
        <v>0</v>
      </c>
      <c r="FE130" s="240">
        <f>SUM(FE6:FE36)</f>
        <v>0</v>
      </c>
      <c r="FF130" s="240">
        <f>SUM(FF6:FF36)</f>
        <v>0</v>
      </c>
      <c r="FG130" s="591">
        <f>SUM(FG90:FG126)</f>
        <v>0</v>
      </c>
      <c r="FL130" s="1320" t="str">
        <f>Language!$E$245</f>
        <v>Nummer:</v>
      </c>
      <c r="FM130" s="1321"/>
      <c r="FN130" s="1322"/>
      <c r="FO130" s="240">
        <f>SUM(FO124:FO126)</f>
        <v>0</v>
      </c>
      <c r="FP130" s="240">
        <f>SUM(FP6:FP36)</f>
        <v>0</v>
      </c>
      <c r="FQ130" s="240">
        <f>SUM(FQ6:FQ36)</f>
        <v>0</v>
      </c>
      <c r="FR130" s="240">
        <f>SUM(FR6:FR36)</f>
        <v>0</v>
      </c>
      <c r="FS130" s="240">
        <f>SUM(FS6:FS36)</f>
        <v>0</v>
      </c>
      <c r="FT130" s="591">
        <f>SUM(FT90:FT126)</f>
        <v>0</v>
      </c>
      <c r="FY130" s="1320" t="str">
        <f>Language!$E$245</f>
        <v>Nummer:</v>
      </c>
      <c r="FZ130" s="1321"/>
      <c r="GA130" s="1322"/>
      <c r="GB130" s="240">
        <f>SUM(GB124:GB126)</f>
        <v>0</v>
      </c>
      <c r="GC130" s="240">
        <f>SUM(GC6:GC36)</f>
        <v>0</v>
      </c>
      <c r="GD130" s="240">
        <f>SUM(GD6:GD36)</f>
        <v>0</v>
      </c>
      <c r="GE130" s="240">
        <f>SUM(GE6:GE36)</f>
        <v>0</v>
      </c>
      <c r="GF130" s="240">
        <f>SUM(GF6:GF36)</f>
        <v>0</v>
      </c>
      <c r="GG130" s="591">
        <f>SUM(GG90:GG126)</f>
        <v>0</v>
      </c>
      <c r="GL130" s="1320" t="str">
        <f>Language!$E$245</f>
        <v>Nummer:</v>
      </c>
      <c r="GM130" s="1321"/>
      <c r="GN130" s="1322"/>
      <c r="GO130" s="240">
        <f>SUM(GO124:GO126)</f>
        <v>0</v>
      </c>
      <c r="GP130" s="240">
        <f>SUM(GP6:GP36)</f>
        <v>0</v>
      </c>
      <c r="GQ130" s="240">
        <f>SUM(GQ6:GQ36)</f>
        <v>0</v>
      </c>
      <c r="GR130" s="240">
        <f>SUM(GR6:GR36)</f>
        <v>0</v>
      </c>
      <c r="GS130" s="240">
        <f>SUM(GS6:GS36)</f>
        <v>0</v>
      </c>
      <c r="GT130" s="591">
        <f>SUM(GT90:GT126)</f>
        <v>0</v>
      </c>
      <c r="GY130" s="1320" t="str">
        <f>Language!$E$245</f>
        <v>Nummer:</v>
      </c>
      <c r="GZ130" s="1321"/>
      <c r="HA130" s="1322"/>
      <c r="HB130" s="240">
        <f>SUM(HB124:HB126)</f>
        <v>0</v>
      </c>
      <c r="HC130" s="240">
        <f>SUM(HC6:HC36)</f>
        <v>0</v>
      </c>
      <c r="HD130" s="240">
        <f>SUM(HD6:HD36)</f>
        <v>0</v>
      </c>
      <c r="HE130" s="240">
        <f>SUM(HE6:HE36)</f>
        <v>0</v>
      </c>
      <c r="HF130" s="240">
        <f>SUM(HF6:HF36)</f>
        <v>0</v>
      </c>
      <c r="HG130" s="591">
        <f>SUM(HG90:HG126)</f>
        <v>0</v>
      </c>
      <c r="HL130" s="1320" t="str">
        <f>Language!$E$245</f>
        <v>Nummer:</v>
      </c>
      <c r="HM130" s="1321"/>
      <c r="HN130" s="1322"/>
      <c r="HO130" s="240">
        <f>SUM(HO124:HO126)</f>
        <v>0</v>
      </c>
      <c r="HP130" s="240">
        <f>SUM(HP6:HP36)</f>
        <v>0</v>
      </c>
      <c r="HQ130" s="240">
        <f>SUM(HQ6:HQ36)</f>
        <v>0</v>
      </c>
      <c r="HR130" s="240">
        <f>SUM(HR6:HR36)</f>
        <v>0</v>
      </c>
      <c r="HS130" s="240">
        <f>SUM(HS6:HS36)</f>
        <v>0</v>
      </c>
      <c r="HT130" s="591">
        <f>SUM(HT90:HT126)</f>
        <v>0</v>
      </c>
      <c r="HY130" s="1320" t="str">
        <f>Language!$E$245</f>
        <v>Nummer:</v>
      </c>
      <c r="HZ130" s="1321"/>
      <c r="IA130" s="1322"/>
      <c r="IB130" s="240">
        <f>SUM(IB124:IB126)</f>
        <v>0</v>
      </c>
      <c r="IC130" s="240">
        <f>SUM(IC6:IC36)</f>
        <v>0</v>
      </c>
      <c r="ID130" s="240">
        <f>SUM(ID6:ID36)</f>
        <v>0</v>
      </c>
      <c r="IE130" s="240">
        <f>SUM(IE6:IE36)</f>
        <v>0</v>
      </c>
      <c r="IF130" s="240">
        <f>SUM(IF6:IF36)</f>
        <v>0</v>
      </c>
      <c r="IG130" s="591">
        <f>SUM(IG90:IG126)</f>
        <v>0</v>
      </c>
      <c r="IL130" s="1320" t="str">
        <f>Language!$E$245</f>
        <v>Nummer:</v>
      </c>
      <c r="IM130" s="1321"/>
      <c r="IN130" s="1322"/>
      <c r="IO130" s="240">
        <f>SUM(IO124:IO126)</f>
        <v>0</v>
      </c>
      <c r="IP130" s="240">
        <f>SUM(IP6:IP36)</f>
        <v>0</v>
      </c>
      <c r="IQ130" s="240">
        <f>SUM(IQ6:IQ36)</f>
        <v>0</v>
      </c>
      <c r="IR130" s="240">
        <f>SUM(IR6:IR36)</f>
        <v>0</v>
      </c>
      <c r="IS130" s="240">
        <f>SUM(IS6:IS36)</f>
        <v>0</v>
      </c>
      <c r="IT130" s="591">
        <f>SUM(IT90:IT126)</f>
        <v>0</v>
      </c>
      <c r="IY130" s="1320" t="str">
        <f>Language!$E$245</f>
        <v>Nummer:</v>
      </c>
      <c r="IZ130" s="1321"/>
      <c r="JA130" s="1322"/>
      <c r="JB130" s="240">
        <f>SUM(JB124:JB126)</f>
        <v>0</v>
      </c>
      <c r="JC130" s="240">
        <f>SUM(JC6:JC36)</f>
        <v>0</v>
      </c>
      <c r="JD130" s="240">
        <f>SUM(JD6:JD36)</f>
        <v>0</v>
      </c>
      <c r="JE130" s="240">
        <f>SUM(JE6:JE36)</f>
        <v>0</v>
      </c>
      <c r="JF130" s="240">
        <f>SUM(JF6:JF36)</f>
        <v>0</v>
      </c>
      <c r="JG130" s="591">
        <f>SUM(JG90:JG126)</f>
        <v>0</v>
      </c>
      <c r="JL130" s="1320" t="str">
        <f>Language!$E$245</f>
        <v>Nummer:</v>
      </c>
      <c r="JM130" s="1321"/>
      <c r="JN130" s="1322"/>
      <c r="JO130" s="240">
        <f>SUM(JO124:JO126)</f>
        <v>0</v>
      </c>
      <c r="JP130" s="240">
        <f>SUM(JP6:JP36)</f>
        <v>0</v>
      </c>
      <c r="JQ130" s="240">
        <f>SUM(JQ6:JQ36)</f>
        <v>0</v>
      </c>
      <c r="JR130" s="240">
        <f>SUM(JR6:JR36)</f>
        <v>0</v>
      </c>
      <c r="JS130" s="240">
        <f>SUM(JS6:JS36)</f>
        <v>0</v>
      </c>
      <c r="JT130" s="591">
        <f>SUM(JT90:JT126)</f>
        <v>0</v>
      </c>
      <c r="JY130" s="1320" t="str">
        <f>Language!$E$245</f>
        <v>Nummer:</v>
      </c>
      <c r="JZ130" s="1321"/>
      <c r="KA130" s="1322"/>
      <c r="KB130" s="240">
        <f>SUM(KB124:KB126)</f>
        <v>0</v>
      </c>
      <c r="KC130" s="240">
        <f>SUM(KC6:KC36)</f>
        <v>0</v>
      </c>
      <c r="KD130" s="240">
        <f>SUM(KD6:KD36)</f>
        <v>0</v>
      </c>
      <c r="KE130" s="240">
        <f>SUM(KE6:KE36)</f>
        <v>0</v>
      </c>
      <c r="KF130" s="240">
        <f>SUM(KF6:KF36)</f>
        <v>0</v>
      </c>
      <c r="KG130" s="591">
        <f>SUM(KG90:KG126)</f>
        <v>0</v>
      </c>
      <c r="KL130" s="1320" t="str">
        <f>Language!$E$245</f>
        <v>Nummer:</v>
      </c>
      <c r="KM130" s="1321"/>
      <c r="KN130" s="1322"/>
      <c r="KO130" s="240">
        <f>SUM(KO124:KO126)</f>
        <v>0</v>
      </c>
      <c r="KP130" s="240">
        <f>SUM(KP6:KP36)</f>
        <v>0</v>
      </c>
      <c r="KQ130" s="240">
        <f>SUM(KQ6:KQ36)</f>
        <v>0</v>
      </c>
      <c r="KR130" s="240">
        <f>SUM(KR6:KR36)</f>
        <v>0</v>
      </c>
      <c r="KS130" s="240">
        <f>SUM(KS6:KS36)</f>
        <v>0</v>
      </c>
      <c r="KT130" s="591">
        <f>SUM(KT90:KT126)</f>
        <v>0</v>
      </c>
      <c r="KY130" s="1320" t="str">
        <f>Language!$E$245</f>
        <v>Nummer:</v>
      </c>
      <c r="KZ130" s="1321"/>
      <c r="LA130" s="1322"/>
      <c r="LB130" s="240">
        <f>SUM(LB124:LB126)</f>
        <v>0</v>
      </c>
      <c r="LC130" s="240">
        <f>SUM(LC6:LC36)</f>
        <v>0</v>
      </c>
      <c r="LD130" s="240">
        <f>SUM(LD6:LD36)</f>
        <v>0</v>
      </c>
      <c r="LE130" s="240">
        <f>SUM(LE6:LE36)</f>
        <v>0</v>
      </c>
      <c r="LF130" s="240">
        <f>SUM(LF6:LF36)</f>
        <v>0</v>
      </c>
      <c r="LG130" s="591">
        <f>SUM(LG90:LG126)</f>
        <v>0</v>
      </c>
      <c r="LL130" s="1320" t="str">
        <f>Language!$E$245</f>
        <v>Nummer:</v>
      </c>
      <c r="LM130" s="1321"/>
      <c r="LN130" s="1322"/>
      <c r="LO130" s="240">
        <f>SUM(LO124:LO126)</f>
        <v>0</v>
      </c>
      <c r="LP130" s="240">
        <f>SUM(LP6:LP36)</f>
        <v>0</v>
      </c>
      <c r="LQ130" s="240">
        <f>SUM(LQ6:LQ36)</f>
        <v>0</v>
      </c>
      <c r="LR130" s="240">
        <f>SUM(LR6:LR36)</f>
        <v>0</v>
      </c>
      <c r="LS130" s="240">
        <f>SUM(LS6:LS36)</f>
        <v>0</v>
      </c>
      <c r="LT130" s="591">
        <f>SUM(LT90:LT126)</f>
        <v>0</v>
      </c>
      <c r="LY130" s="1320" t="str">
        <f>Language!$E$245</f>
        <v>Nummer:</v>
      </c>
      <c r="LZ130" s="1321"/>
      <c r="MA130" s="1322"/>
      <c r="MB130" s="240">
        <f>SUM(MB124:MB126)</f>
        <v>0</v>
      </c>
      <c r="MC130" s="240">
        <f>SUM(MC6:MC36)</f>
        <v>0</v>
      </c>
      <c r="MD130" s="240">
        <f>SUM(MD6:MD36)</f>
        <v>0</v>
      </c>
      <c r="ME130" s="240">
        <f>SUM(ME6:ME36)</f>
        <v>0</v>
      </c>
      <c r="MF130" s="240">
        <f>SUM(MF6:MF36)</f>
        <v>0</v>
      </c>
      <c r="MG130" s="591">
        <f>SUM(MG90:MG126)</f>
        <v>0</v>
      </c>
    </row>
    <row r="131" spans="2:345" ht="16.5" thickBot="1">
      <c r="L131" s="1323" t="str">
        <f>Language!$E$207</f>
        <v>Punten:</v>
      </c>
      <c r="M131" s="1324"/>
      <c r="N131" s="1325"/>
      <c r="O131" s="268">
        <f>O130*PrSettings!$F$9</f>
        <v>0</v>
      </c>
      <c r="P131" s="268">
        <f>P130*PrSettings!$F$4</f>
        <v>0</v>
      </c>
      <c r="Q131" s="268">
        <f>Q130*PrSettings!$F$5</f>
        <v>0</v>
      </c>
      <c r="R131" s="268">
        <f>R130*PrSettings!$F$6</f>
        <v>0</v>
      </c>
      <c r="S131" s="268">
        <f>S130*PrSettings!$F$7</f>
        <v>0</v>
      </c>
      <c r="T131" s="269">
        <f>T130*PrSettings!$F$8</f>
        <v>0</v>
      </c>
      <c r="Y131" s="1323" t="str">
        <f>Language!$E$207</f>
        <v>Punten:</v>
      </c>
      <c r="Z131" s="1324"/>
      <c r="AA131" s="1325"/>
      <c r="AB131" s="268">
        <f>AB130*PrSettings!$F$9</f>
        <v>0</v>
      </c>
      <c r="AC131" s="268">
        <f>AC130*PrSettings!$F$4</f>
        <v>0</v>
      </c>
      <c r="AD131" s="268">
        <f>AD130*PrSettings!$F$5</f>
        <v>0</v>
      </c>
      <c r="AE131" s="268">
        <f>AE130*PrSettings!$F$6</f>
        <v>0</v>
      </c>
      <c r="AF131" s="268">
        <f>AF130*PrSettings!$F$7</f>
        <v>0</v>
      </c>
      <c r="AG131" s="269">
        <f>AG130*PrSettings!$F$8</f>
        <v>0</v>
      </c>
      <c r="AL131" s="1323" t="str">
        <f>Language!$E$207</f>
        <v>Punten:</v>
      </c>
      <c r="AM131" s="1324"/>
      <c r="AN131" s="1325"/>
      <c r="AO131" s="268">
        <f>AO130*PrSettings!$F$9</f>
        <v>0</v>
      </c>
      <c r="AP131" s="268">
        <f>AP130*PrSettings!$F$4</f>
        <v>0</v>
      </c>
      <c r="AQ131" s="268">
        <f>AQ130*PrSettings!$F$5</f>
        <v>0</v>
      </c>
      <c r="AR131" s="268">
        <f>AR130*PrSettings!$F$6</f>
        <v>0</v>
      </c>
      <c r="AS131" s="268">
        <f>AS130*PrSettings!$F$7</f>
        <v>0</v>
      </c>
      <c r="AT131" s="269">
        <f>AT130*PrSettings!$F$8</f>
        <v>0</v>
      </c>
      <c r="AY131" s="1323" t="str">
        <f>Language!$E$207</f>
        <v>Punten:</v>
      </c>
      <c r="AZ131" s="1324"/>
      <c r="BA131" s="1325"/>
      <c r="BB131" s="268">
        <f>BB130*PrSettings!$F$9</f>
        <v>0</v>
      </c>
      <c r="BC131" s="268">
        <f>BC130*PrSettings!$F$4</f>
        <v>0</v>
      </c>
      <c r="BD131" s="268">
        <f>BD130*PrSettings!$F$5</f>
        <v>0</v>
      </c>
      <c r="BE131" s="268">
        <f>BE130*PrSettings!$F$6</f>
        <v>0</v>
      </c>
      <c r="BF131" s="268">
        <f>BF130*PrSettings!$F$7</f>
        <v>0</v>
      </c>
      <c r="BG131" s="269">
        <f>BG130*PrSettings!$F$8</f>
        <v>0</v>
      </c>
      <c r="BL131" s="1323" t="str">
        <f>Language!$E$207</f>
        <v>Punten:</v>
      </c>
      <c r="BM131" s="1324"/>
      <c r="BN131" s="1325"/>
      <c r="BO131" s="268">
        <f>BO130*PrSettings!$F$9</f>
        <v>0</v>
      </c>
      <c r="BP131" s="268">
        <f>BP130*PrSettings!$F$4</f>
        <v>0</v>
      </c>
      <c r="BQ131" s="268">
        <f>BQ130*PrSettings!$F$5</f>
        <v>0</v>
      </c>
      <c r="BR131" s="268">
        <f>BR130*PrSettings!$F$6</f>
        <v>0</v>
      </c>
      <c r="BS131" s="268">
        <f>BS130*PrSettings!$F$7</f>
        <v>0</v>
      </c>
      <c r="BT131" s="269">
        <f>BT130*PrSettings!$F$8</f>
        <v>0</v>
      </c>
      <c r="BY131" s="1323" t="str">
        <f>Language!$E$207</f>
        <v>Punten:</v>
      </c>
      <c r="BZ131" s="1324"/>
      <c r="CA131" s="1325"/>
      <c r="CB131" s="268">
        <f>CB130*PrSettings!$F$9</f>
        <v>0</v>
      </c>
      <c r="CC131" s="268">
        <f>CC130*PrSettings!$F$4</f>
        <v>0</v>
      </c>
      <c r="CD131" s="268">
        <f>CD130*PrSettings!$F$5</f>
        <v>0</v>
      </c>
      <c r="CE131" s="268">
        <f>CE130*PrSettings!$F$6</f>
        <v>0</v>
      </c>
      <c r="CF131" s="268">
        <f>CF130*PrSettings!$F$7</f>
        <v>0</v>
      </c>
      <c r="CG131" s="269">
        <f>CG130*PrSettings!$F$8</f>
        <v>0</v>
      </c>
      <c r="CL131" s="1323" t="str">
        <f>Language!$E$207</f>
        <v>Punten:</v>
      </c>
      <c r="CM131" s="1324"/>
      <c r="CN131" s="1325"/>
      <c r="CO131" s="268">
        <f>CO130*PrSettings!$F$9</f>
        <v>0</v>
      </c>
      <c r="CP131" s="268">
        <f>CP130*PrSettings!$F$4</f>
        <v>0</v>
      </c>
      <c r="CQ131" s="268">
        <f>CQ130*PrSettings!$F$5</f>
        <v>0</v>
      </c>
      <c r="CR131" s="268">
        <f>CR130*PrSettings!$F$6</f>
        <v>0</v>
      </c>
      <c r="CS131" s="268">
        <f>CS130*PrSettings!$F$7</f>
        <v>0</v>
      </c>
      <c r="CT131" s="269">
        <f>CT130*PrSettings!$F$8</f>
        <v>0</v>
      </c>
      <c r="CY131" s="1323" t="str">
        <f>Language!$E$207</f>
        <v>Punten:</v>
      </c>
      <c r="CZ131" s="1324"/>
      <c r="DA131" s="1325"/>
      <c r="DB131" s="268">
        <f>DB130*PrSettings!$F$9</f>
        <v>0</v>
      </c>
      <c r="DC131" s="268">
        <f>DC130*PrSettings!$F$4</f>
        <v>0</v>
      </c>
      <c r="DD131" s="268">
        <f>DD130*PrSettings!$F$5</f>
        <v>0</v>
      </c>
      <c r="DE131" s="268">
        <f>DE130*PrSettings!$F$6</f>
        <v>0</v>
      </c>
      <c r="DF131" s="268">
        <f>DF130*PrSettings!$F$7</f>
        <v>0</v>
      </c>
      <c r="DG131" s="269">
        <f>DG130*PrSettings!$F$8</f>
        <v>0</v>
      </c>
      <c r="DL131" s="1323" t="str">
        <f>Language!$E$207</f>
        <v>Punten:</v>
      </c>
      <c r="DM131" s="1324"/>
      <c r="DN131" s="1325"/>
      <c r="DO131" s="268">
        <f>DO130*PrSettings!$F$9</f>
        <v>0</v>
      </c>
      <c r="DP131" s="268">
        <f>DP130*PrSettings!$F$4</f>
        <v>0</v>
      </c>
      <c r="DQ131" s="268">
        <f>DQ130*PrSettings!$F$5</f>
        <v>0</v>
      </c>
      <c r="DR131" s="268">
        <f>DR130*PrSettings!$F$6</f>
        <v>0</v>
      </c>
      <c r="DS131" s="268">
        <f>DS130*PrSettings!$F$7</f>
        <v>0</v>
      </c>
      <c r="DT131" s="269">
        <f>DT130*PrSettings!$F$8</f>
        <v>0</v>
      </c>
      <c r="DY131" s="1323" t="str">
        <f>Language!$E$207</f>
        <v>Punten:</v>
      </c>
      <c r="DZ131" s="1324"/>
      <c r="EA131" s="1325"/>
      <c r="EB131" s="268">
        <f>EB130*PrSettings!$F$9</f>
        <v>0</v>
      </c>
      <c r="EC131" s="268">
        <f>EC130*PrSettings!$F$4</f>
        <v>0</v>
      </c>
      <c r="ED131" s="268">
        <f>ED130*PrSettings!$F$5</f>
        <v>0</v>
      </c>
      <c r="EE131" s="268">
        <f>EE130*PrSettings!$F$6</f>
        <v>0</v>
      </c>
      <c r="EF131" s="268">
        <f>EF130*PrSettings!$F$7</f>
        <v>0</v>
      </c>
      <c r="EG131" s="269">
        <f>EG130*PrSettings!$F$8</f>
        <v>0</v>
      </c>
      <c r="EL131" s="1323" t="str">
        <f>Language!$E$207</f>
        <v>Punten:</v>
      </c>
      <c r="EM131" s="1324"/>
      <c r="EN131" s="1325"/>
      <c r="EO131" s="268">
        <f>EO130*PrSettings!$F$9</f>
        <v>0</v>
      </c>
      <c r="EP131" s="268">
        <f>EP130*PrSettings!$F$4</f>
        <v>0</v>
      </c>
      <c r="EQ131" s="268">
        <f>EQ130*PrSettings!$F$5</f>
        <v>0</v>
      </c>
      <c r="ER131" s="268">
        <f>ER130*PrSettings!$F$6</f>
        <v>0</v>
      </c>
      <c r="ES131" s="268">
        <f>ES130*PrSettings!$F$7</f>
        <v>0</v>
      </c>
      <c r="ET131" s="269">
        <f>ET130*PrSettings!$F$8</f>
        <v>0</v>
      </c>
      <c r="EY131" s="1323" t="str">
        <f>Language!$E$207</f>
        <v>Punten:</v>
      </c>
      <c r="EZ131" s="1324"/>
      <c r="FA131" s="1325"/>
      <c r="FB131" s="268">
        <f>FB130*PrSettings!$F$9</f>
        <v>0</v>
      </c>
      <c r="FC131" s="268">
        <f>FC130*PrSettings!$F$4</f>
        <v>0</v>
      </c>
      <c r="FD131" s="268">
        <f>FD130*PrSettings!$F$5</f>
        <v>0</v>
      </c>
      <c r="FE131" s="268">
        <f>FE130*PrSettings!$F$6</f>
        <v>0</v>
      </c>
      <c r="FF131" s="268">
        <f>FF130*PrSettings!$F$7</f>
        <v>0</v>
      </c>
      <c r="FG131" s="269">
        <f>FG130*PrSettings!$F$8</f>
        <v>0</v>
      </c>
      <c r="FL131" s="1323" t="str">
        <f>Language!$E$207</f>
        <v>Punten:</v>
      </c>
      <c r="FM131" s="1324"/>
      <c r="FN131" s="1325"/>
      <c r="FO131" s="268">
        <f>FO130*PrSettings!$F$9</f>
        <v>0</v>
      </c>
      <c r="FP131" s="268">
        <f>FP130*PrSettings!$F$4</f>
        <v>0</v>
      </c>
      <c r="FQ131" s="268">
        <f>FQ130*PrSettings!$F$5</f>
        <v>0</v>
      </c>
      <c r="FR131" s="268">
        <f>FR130*PrSettings!$F$6</f>
        <v>0</v>
      </c>
      <c r="FS131" s="268">
        <f>FS130*PrSettings!$F$7</f>
        <v>0</v>
      </c>
      <c r="FT131" s="269">
        <f>FT130*PrSettings!$F$8</f>
        <v>0</v>
      </c>
      <c r="FY131" s="1323" t="str">
        <f>Language!$E$207</f>
        <v>Punten:</v>
      </c>
      <c r="FZ131" s="1324"/>
      <c r="GA131" s="1325"/>
      <c r="GB131" s="268">
        <f>GB130*PrSettings!$F$9</f>
        <v>0</v>
      </c>
      <c r="GC131" s="268">
        <f>GC130*PrSettings!$F$4</f>
        <v>0</v>
      </c>
      <c r="GD131" s="268">
        <f>GD130*PrSettings!$F$5</f>
        <v>0</v>
      </c>
      <c r="GE131" s="268">
        <f>GE130*PrSettings!$F$6</f>
        <v>0</v>
      </c>
      <c r="GF131" s="268">
        <f>GF130*PrSettings!$F$7</f>
        <v>0</v>
      </c>
      <c r="GG131" s="269">
        <f>GG130*PrSettings!$F$8</f>
        <v>0</v>
      </c>
      <c r="GL131" s="1323" t="str">
        <f>Language!$E$207</f>
        <v>Punten:</v>
      </c>
      <c r="GM131" s="1324"/>
      <c r="GN131" s="1325"/>
      <c r="GO131" s="268">
        <f>GO130*PrSettings!$F$9</f>
        <v>0</v>
      </c>
      <c r="GP131" s="268">
        <f>GP130*PrSettings!$F$4</f>
        <v>0</v>
      </c>
      <c r="GQ131" s="268">
        <f>GQ130*PrSettings!$F$5</f>
        <v>0</v>
      </c>
      <c r="GR131" s="268">
        <f>GR130*PrSettings!$F$6</f>
        <v>0</v>
      </c>
      <c r="GS131" s="268">
        <f>GS130*PrSettings!$F$7</f>
        <v>0</v>
      </c>
      <c r="GT131" s="269">
        <f>GT130*PrSettings!$F$8</f>
        <v>0</v>
      </c>
      <c r="GY131" s="1323" t="str">
        <f>Language!$E$207</f>
        <v>Punten:</v>
      </c>
      <c r="GZ131" s="1324"/>
      <c r="HA131" s="1325"/>
      <c r="HB131" s="268">
        <f>HB130*PrSettings!$F$9</f>
        <v>0</v>
      </c>
      <c r="HC131" s="268">
        <f>HC130*PrSettings!$F$4</f>
        <v>0</v>
      </c>
      <c r="HD131" s="268">
        <f>HD130*PrSettings!$F$5</f>
        <v>0</v>
      </c>
      <c r="HE131" s="268">
        <f>HE130*PrSettings!$F$6</f>
        <v>0</v>
      </c>
      <c r="HF131" s="268">
        <f>HF130*PrSettings!$F$7</f>
        <v>0</v>
      </c>
      <c r="HG131" s="269">
        <f>HG130*PrSettings!$F$8</f>
        <v>0</v>
      </c>
      <c r="HL131" s="1323" t="str">
        <f>Language!$E$207</f>
        <v>Punten:</v>
      </c>
      <c r="HM131" s="1324"/>
      <c r="HN131" s="1325"/>
      <c r="HO131" s="268">
        <f>HO130*PrSettings!$F$9</f>
        <v>0</v>
      </c>
      <c r="HP131" s="268">
        <f>HP130*PrSettings!$F$4</f>
        <v>0</v>
      </c>
      <c r="HQ131" s="268">
        <f>HQ130*PrSettings!$F$5</f>
        <v>0</v>
      </c>
      <c r="HR131" s="268">
        <f>HR130*PrSettings!$F$6</f>
        <v>0</v>
      </c>
      <c r="HS131" s="268">
        <f>HS130*PrSettings!$F$7</f>
        <v>0</v>
      </c>
      <c r="HT131" s="269">
        <f>HT130*PrSettings!$F$8</f>
        <v>0</v>
      </c>
      <c r="HY131" s="1323" t="str">
        <f>Language!$E$207</f>
        <v>Punten:</v>
      </c>
      <c r="HZ131" s="1324"/>
      <c r="IA131" s="1325"/>
      <c r="IB131" s="268">
        <f>IB130*PrSettings!$F$9</f>
        <v>0</v>
      </c>
      <c r="IC131" s="268">
        <f>IC130*PrSettings!$F$4</f>
        <v>0</v>
      </c>
      <c r="ID131" s="268">
        <f>ID130*PrSettings!$F$5</f>
        <v>0</v>
      </c>
      <c r="IE131" s="268">
        <f>IE130*PrSettings!$F$6</f>
        <v>0</v>
      </c>
      <c r="IF131" s="268">
        <f>IF130*PrSettings!$F$7</f>
        <v>0</v>
      </c>
      <c r="IG131" s="269">
        <f>IG130*PrSettings!$F$8</f>
        <v>0</v>
      </c>
      <c r="IL131" s="1323" t="str">
        <f>Language!$E$207</f>
        <v>Punten:</v>
      </c>
      <c r="IM131" s="1324"/>
      <c r="IN131" s="1325"/>
      <c r="IO131" s="268">
        <f>IO130*PrSettings!$F$9</f>
        <v>0</v>
      </c>
      <c r="IP131" s="268">
        <f>IP130*PrSettings!$F$4</f>
        <v>0</v>
      </c>
      <c r="IQ131" s="268">
        <f>IQ130*PrSettings!$F$5</f>
        <v>0</v>
      </c>
      <c r="IR131" s="268">
        <f>IR130*PrSettings!$F$6</f>
        <v>0</v>
      </c>
      <c r="IS131" s="268">
        <f>IS130*PrSettings!$F$7</f>
        <v>0</v>
      </c>
      <c r="IT131" s="269">
        <f>IT130*PrSettings!$F$8</f>
        <v>0</v>
      </c>
      <c r="IY131" s="1323" t="str">
        <f>Language!$E$207</f>
        <v>Punten:</v>
      </c>
      <c r="IZ131" s="1324"/>
      <c r="JA131" s="1325"/>
      <c r="JB131" s="268">
        <f>JB130*PrSettings!$F$9</f>
        <v>0</v>
      </c>
      <c r="JC131" s="268">
        <f>JC130*PrSettings!$F$4</f>
        <v>0</v>
      </c>
      <c r="JD131" s="268">
        <f>JD130*PrSettings!$F$5</f>
        <v>0</v>
      </c>
      <c r="JE131" s="268">
        <f>JE130*PrSettings!$F$6</f>
        <v>0</v>
      </c>
      <c r="JF131" s="268">
        <f>JF130*PrSettings!$F$7</f>
        <v>0</v>
      </c>
      <c r="JG131" s="269">
        <f>JG130*PrSettings!$F$8</f>
        <v>0</v>
      </c>
      <c r="JL131" s="1323" t="str">
        <f>Language!$E$207</f>
        <v>Punten:</v>
      </c>
      <c r="JM131" s="1324"/>
      <c r="JN131" s="1325"/>
      <c r="JO131" s="268">
        <f>JO130*PrSettings!$F$9</f>
        <v>0</v>
      </c>
      <c r="JP131" s="268">
        <f>JP130*PrSettings!$F$4</f>
        <v>0</v>
      </c>
      <c r="JQ131" s="268">
        <f>JQ130*PrSettings!$F$5</f>
        <v>0</v>
      </c>
      <c r="JR131" s="268">
        <f>JR130*PrSettings!$F$6</f>
        <v>0</v>
      </c>
      <c r="JS131" s="268">
        <f>JS130*PrSettings!$F$7</f>
        <v>0</v>
      </c>
      <c r="JT131" s="269">
        <f>JT130*PrSettings!$F$8</f>
        <v>0</v>
      </c>
      <c r="JY131" s="1323" t="str">
        <f>Language!$E$207</f>
        <v>Punten:</v>
      </c>
      <c r="JZ131" s="1324"/>
      <c r="KA131" s="1325"/>
      <c r="KB131" s="268">
        <f>KB130*PrSettings!$F$9</f>
        <v>0</v>
      </c>
      <c r="KC131" s="268">
        <f>KC130*PrSettings!$F$4</f>
        <v>0</v>
      </c>
      <c r="KD131" s="268">
        <f>KD130*PrSettings!$F$5</f>
        <v>0</v>
      </c>
      <c r="KE131" s="268">
        <f>KE130*PrSettings!$F$6</f>
        <v>0</v>
      </c>
      <c r="KF131" s="268">
        <f>KF130*PrSettings!$F$7</f>
        <v>0</v>
      </c>
      <c r="KG131" s="269">
        <f>KG130*PrSettings!$F$8</f>
        <v>0</v>
      </c>
      <c r="KL131" s="1323" t="str">
        <f>Language!$E$207</f>
        <v>Punten:</v>
      </c>
      <c r="KM131" s="1324"/>
      <c r="KN131" s="1325"/>
      <c r="KO131" s="268">
        <f>KO130*PrSettings!$F$9</f>
        <v>0</v>
      </c>
      <c r="KP131" s="268">
        <f>KP130*PrSettings!$F$4</f>
        <v>0</v>
      </c>
      <c r="KQ131" s="268">
        <f>KQ130*PrSettings!$F$5</f>
        <v>0</v>
      </c>
      <c r="KR131" s="268">
        <f>KR130*PrSettings!$F$6</f>
        <v>0</v>
      </c>
      <c r="KS131" s="268">
        <f>KS130*PrSettings!$F$7</f>
        <v>0</v>
      </c>
      <c r="KT131" s="269">
        <f>KT130*PrSettings!$F$8</f>
        <v>0</v>
      </c>
      <c r="KY131" s="1323" t="str">
        <f>Language!$E$207</f>
        <v>Punten:</v>
      </c>
      <c r="KZ131" s="1324"/>
      <c r="LA131" s="1325"/>
      <c r="LB131" s="268">
        <f>LB130*PrSettings!$F$9</f>
        <v>0</v>
      </c>
      <c r="LC131" s="268">
        <f>LC130*PrSettings!$F$4</f>
        <v>0</v>
      </c>
      <c r="LD131" s="268">
        <f>LD130*PrSettings!$F$5</f>
        <v>0</v>
      </c>
      <c r="LE131" s="268">
        <f>LE130*PrSettings!$F$6</f>
        <v>0</v>
      </c>
      <c r="LF131" s="268">
        <f>LF130*PrSettings!$F$7</f>
        <v>0</v>
      </c>
      <c r="LG131" s="269">
        <f>LG130*PrSettings!$F$8</f>
        <v>0</v>
      </c>
      <c r="LL131" s="1323" t="str">
        <f>Language!$E$207</f>
        <v>Punten:</v>
      </c>
      <c r="LM131" s="1324"/>
      <c r="LN131" s="1325"/>
      <c r="LO131" s="268">
        <f>LO130*PrSettings!$F$9</f>
        <v>0</v>
      </c>
      <c r="LP131" s="268">
        <f>LP130*PrSettings!$F$4</f>
        <v>0</v>
      </c>
      <c r="LQ131" s="268">
        <f>LQ130*PrSettings!$F$5</f>
        <v>0</v>
      </c>
      <c r="LR131" s="268">
        <f>LR130*PrSettings!$F$6</f>
        <v>0</v>
      </c>
      <c r="LS131" s="268">
        <f>LS130*PrSettings!$F$7</f>
        <v>0</v>
      </c>
      <c r="LT131" s="269">
        <f>LT130*PrSettings!$F$8</f>
        <v>0</v>
      </c>
      <c r="LY131" s="1323" t="str">
        <f>Language!$E$207</f>
        <v>Punten:</v>
      </c>
      <c r="LZ131" s="1324"/>
      <c r="MA131" s="1325"/>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c r="L132" s="1329" t="str">
        <f>Language!$E$208</f>
        <v>Totaal:</v>
      </c>
      <c r="M132" s="1330"/>
      <c r="N132" s="1331"/>
      <c r="O132" s="1332">
        <f>SUM(O131:T131)</f>
        <v>0</v>
      </c>
      <c r="P132" s="1333"/>
      <c r="Q132" s="1333"/>
      <c r="R132" s="1333"/>
      <c r="S132" s="1333"/>
      <c r="T132" s="1334"/>
      <c r="Y132" s="1329" t="str">
        <f>Language!$E$208</f>
        <v>Totaal:</v>
      </c>
      <c r="Z132" s="1330"/>
      <c r="AA132" s="1331"/>
      <c r="AB132" s="1332">
        <f>SUM(AB131:AG131)</f>
        <v>0</v>
      </c>
      <c r="AC132" s="1333"/>
      <c r="AD132" s="1333"/>
      <c r="AE132" s="1333"/>
      <c r="AF132" s="1333"/>
      <c r="AG132" s="1334"/>
      <c r="AL132" s="1329" t="str">
        <f>Language!$E$208</f>
        <v>Totaal:</v>
      </c>
      <c r="AM132" s="1330"/>
      <c r="AN132" s="1331"/>
      <c r="AO132" s="1332">
        <f>SUM(AO131:AT131)</f>
        <v>0</v>
      </c>
      <c r="AP132" s="1333"/>
      <c r="AQ132" s="1333"/>
      <c r="AR132" s="1333"/>
      <c r="AS132" s="1333"/>
      <c r="AT132" s="1334"/>
      <c r="AY132" s="1329" t="str">
        <f>Language!$E$208</f>
        <v>Totaal:</v>
      </c>
      <c r="AZ132" s="1330"/>
      <c r="BA132" s="1331"/>
      <c r="BB132" s="1332">
        <f>SUM(BB131:BG131)</f>
        <v>0</v>
      </c>
      <c r="BC132" s="1333"/>
      <c r="BD132" s="1333"/>
      <c r="BE132" s="1333"/>
      <c r="BF132" s="1333"/>
      <c r="BG132" s="1334"/>
      <c r="BL132" s="1329" t="str">
        <f>Language!$E$208</f>
        <v>Totaal:</v>
      </c>
      <c r="BM132" s="1330"/>
      <c r="BN132" s="1331"/>
      <c r="BO132" s="1332">
        <f>SUM(BO131:BT131)</f>
        <v>0</v>
      </c>
      <c r="BP132" s="1333"/>
      <c r="BQ132" s="1333"/>
      <c r="BR132" s="1333"/>
      <c r="BS132" s="1333"/>
      <c r="BT132" s="1334"/>
      <c r="BY132" s="1329" t="str">
        <f>Language!$E$208</f>
        <v>Totaal:</v>
      </c>
      <c r="BZ132" s="1330"/>
      <c r="CA132" s="1331"/>
      <c r="CB132" s="1332">
        <f>SUM(CB131:CG131)</f>
        <v>0</v>
      </c>
      <c r="CC132" s="1333"/>
      <c r="CD132" s="1333"/>
      <c r="CE132" s="1333"/>
      <c r="CF132" s="1333"/>
      <c r="CG132" s="1334"/>
      <c r="CL132" s="1329" t="str">
        <f>Language!$E$208</f>
        <v>Totaal:</v>
      </c>
      <c r="CM132" s="1330"/>
      <c r="CN132" s="1331"/>
      <c r="CO132" s="1332">
        <f>SUM(CO131:CT131)</f>
        <v>0</v>
      </c>
      <c r="CP132" s="1333"/>
      <c r="CQ132" s="1333"/>
      <c r="CR132" s="1333"/>
      <c r="CS132" s="1333"/>
      <c r="CT132" s="1334"/>
      <c r="CY132" s="1329" t="str">
        <f>Language!$E$208</f>
        <v>Totaal:</v>
      </c>
      <c r="CZ132" s="1330"/>
      <c r="DA132" s="1331"/>
      <c r="DB132" s="1332">
        <f>SUM(DB131:DG131)</f>
        <v>0</v>
      </c>
      <c r="DC132" s="1333"/>
      <c r="DD132" s="1333"/>
      <c r="DE132" s="1333"/>
      <c r="DF132" s="1333"/>
      <c r="DG132" s="1334"/>
      <c r="DL132" s="1329" t="str">
        <f>Language!$E$208</f>
        <v>Totaal:</v>
      </c>
      <c r="DM132" s="1330"/>
      <c r="DN132" s="1331"/>
      <c r="DO132" s="1332">
        <f>SUM(DO131:DT131)</f>
        <v>0</v>
      </c>
      <c r="DP132" s="1333"/>
      <c r="DQ132" s="1333"/>
      <c r="DR132" s="1333"/>
      <c r="DS132" s="1333"/>
      <c r="DT132" s="1334"/>
      <c r="DY132" s="1329" t="str">
        <f>Language!$E$208</f>
        <v>Totaal:</v>
      </c>
      <c r="DZ132" s="1330"/>
      <c r="EA132" s="1331"/>
      <c r="EB132" s="1332">
        <f>SUM(EB131:EG131)</f>
        <v>0</v>
      </c>
      <c r="EC132" s="1333"/>
      <c r="ED132" s="1333"/>
      <c r="EE132" s="1333"/>
      <c r="EF132" s="1333"/>
      <c r="EG132" s="1334"/>
      <c r="EL132" s="1329" t="str">
        <f>Language!$E$208</f>
        <v>Totaal:</v>
      </c>
      <c r="EM132" s="1330"/>
      <c r="EN132" s="1331"/>
      <c r="EO132" s="1332">
        <f>SUM(EO131:ET131)</f>
        <v>0</v>
      </c>
      <c r="EP132" s="1333"/>
      <c r="EQ132" s="1333"/>
      <c r="ER132" s="1333"/>
      <c r="ES132" s="1333"/>
      <c r="ET132" s="1334"/>
      <c r="EY132" s="1329" t="str">
        <f>Language!$E$208</f>
        <v>Totaal:</v>
      </c>
      <c r="EZ132" s="1330"/>
      <c r="FA132" s="1331"/>
      <c r="FB132" s="1332">
        <f>SUM(FB131:FG131)</f>
        <v>0</v>
      </c>
      <c r="FC132" s="1333"/>
      <c r="FD132" s="1333"/>
      <c r="FE132" s="1333"/>
      <c r="FF132" s="1333"/>
      <c r="FG132" s="1334"/>
      <c r="FL132" s="1329" t="str">
        <f>Language!$E$208</f>
        <v>Totaal:</v>
      </c>
      <c r="FM132" s="1330"/>
      <c r="FN132" s="1331"/>
      <c r="FO132" s="1332">
        <f>SUM(FO131:FT131)</f>
        <v>0</v>
      </c>
      <c r="FP132" s="1333"/>
      <c r="FQ132" s="1333"/>
      <c r="FR132" s="1333"/>
      <c r="FS132" s="1333"/>
      <c r="FT132" s="1334"/>
      <c r="FY132" s="1329" t="str">
        <f>Language!$E$208</f>
        <v>Totaal:</v>
      </c>
      <c r="FZ132" s="1330"/>
      <c r="GA132" s="1331"/>
      <c r="GB132" s="1332">
        <f>SUM(GB131:GG131)</f>
        <v>0</v>
      </c>
      <c r="GC132" s="1333"/>
      <c r="GD132" s="1333"/>
      <c r="GE132" s="1333"/>
      <c r="GF132" s="1333"/>
      <c r="GG132" s="1334"/>
      <c r="GL132" s="1329" t="str">
        <f>Language!$E$208</f>
        <v>Totaal:</v>
      </c>
      <c r="GM132" s="1330"/>
      <c r="GN132" s="1331"/>
      <c r="GO132" s="1332">
        <f>SUM(GO131:GT131)</f>
        <v>0</v>
      </c>
      <c r="GP132" s="1333"/>
      <c r="GQ132" s="1333"/>
      <c r="GR132" s="1333"/>
      <c r="GS132" s="1333"/>
      <c r="GT132" s="1334"/>
      <c r="GY132" s="1329" t="str">
        <f>Language!$E$208</f>
        <v>Totaal:</v>
      </c>
      <c r="GZ132" s="1330"/>
      <c r="HA132" s="1331"/>
      <c r="HB132" s="1332">
        <f>SUM(HB131:HG131)</f>
        <v>0</v>
      </c>
      <c r="HC132" s="1333"/>
      <c r="HD132" s="1333"/>
      <c r="HE132" s="1333"/>
      <c r="HF132" s="1333"/>
      <c r="HG132" s="1334"/>
      <c r="HL132" s="1329" t="str">
        <f>Language!$E$208</f>
        <v>Totaal:</v>
      </c>
      <c r="HM132" s="1330"/>
      <c r="HN132" s="1331"/>
      <c r="HO132" s="1332">
        <f>SUM(HO131:HT131)</f>
        <v>0</v>
      </c>
      <c r="HP132" s="1333"/>
      <c r="HQ132" s="1333"/>
      <c r="HR132" s="1333"/>
      <c r="HS132" s="1333"/>
      <c r="HT132" s="1334"/>
      <c r="HY132" s="1329" t="str">
        <f>Language!$E$208</f>
        <v>Totaal:</v>
      </c>
      <c r="HZ132" s="1330"/>
      <c r="IA132" s="1331"/>
      <c r="IB132" s="1332">
        <f>SUM(IB131:IG131)</f>
        <v>0</v>
      </c>
      <c r="IC132" s="1333"/>
      <c r="ID132" s="1333"/>
      <c r="IE132" s="1333"/>
      <c r="IF132" s="1333"/>
      <c r="IG132" s="1334"/>
      <c r="IL132" s="1329" t="str">
        <f>Language!$E$208</f>
        <v>Totaal:</v>
      </c>
      <c r="IM132" s="1330"/>
      <c r="IN132" s="1331"/>
      <c r="IO132" s="1332">
        <f>SUM(IO131:IT131)</f>
        <v>0</v>
      </c>
      <c r="IP132" s="1333"/>
      <c r="IQ132" s="1333"/>
      <c r="IR132" s="1333"/>
      <c r="IS132" s="1333"/>
      <c r="IT132" s="1334"/>
      <c r="IY132" s="1329" t="str">
        <f>Language!$E$208</f>
        <v>Totaal:</v>
      </c>
      <c r="IZ132" s="1330"/>
      <c r="JA132" s="1331"/>
      <c r="JB132" s="1332">
        <f>SUM(JB131:JG131)</f>
        <v>0</v>
      </c>
      <c r="JC132" s="1333"/>
      <c r="JD132" s="1333"/>
      <c r="JE132" s="1333"/>
      <c r="JF132" s="1333"/>
      <c r="JG132" s="1334"/>
      <c r="JL132" s="1329" t="str">
        <f>Language!$E$208</f>
        <v>Totaal:</v>
      </c>
      <c r="JM132" s="1330"/>
      <c r="JN132" s="1331"/>
      <c r="JO132" s="1332">
        <f>SUM(JO131:JT131)</f>
        <v>0</v>
      </c>
      <c r="JP132" s="1333"/>
      <c r="JQ132" s="1333"/>
      <c r="JR132" s="1333"/>
      <c r="JS132" s="1333"/>
      <c r="JT132" s="1334"/>
      <c r="JY132" s="1329" t="str">
        <f>Language!$E$208</f>
        <v>Totaal:</v>
      </c>
      <c r="JZ132" s="1330"/>
      <c r="KA132" s="1331"/>
      <c r="KB132" s="1332">
        <f>SUM(KB131:KG131)</f>
        <v>0</v>
      </c>
      <c r="KC132" s="1333"/>
      <c r="KD132" s="1333"/>
      <c r="KE132" s="1333"/>
      <c r="KF132" s="1333"/>
      <c r="KG132" s="1334"/>
      <c r="KL132" s="1329" t="str">
        <f>Language!$E$208</f>
        <v>Totaal:</v>
      </c>
      <c r="KM132" s="1330"/>
      <c r="KN132" s="1331"/>
      <c r="KO132" s="1332">
        <f>SUM(KO131:KT131)</f>
        <v>0</v>
      </c>
      <c r="KP132" s="1333"/>
      <c r="KQ132" s="1333"/>
      <c r="KR132" s="1333"/>
      <c r="KS132" s="1333"/>
      <c r="KT132" s="1334"/>
      <c r="KY132" s="1329" t="str">
        <f>Language!$E$208</f>
        <v>Totaal:</v>
      </c>
      <c r="KZ132" s="1330"/>
      <c r="LA132" s="1331"/>
      <c r="LB132" s="1332">
        <f>SUM(LB131:LG131)</f>
        <v>0</v>
      </c>
      <c r="LC132" s="1333"/>
      <c r="LD132" s="1333"/>
      <c r="LE132" s="1333"/>
      <c r="LF132" s="1333"/>
      <c r="LG132" s="1334"/>
      <c r="LL132" s="1329" t="str">
        <f>Language!$E$208</f>
        <v>Totaal:</v>
      </c>
      <c r="LM132" s="1330"/>
      <c r="LN132" s="1331"/>
      <c r="LO132" s="1332">
        <f>SUM(LO131:LT131)</f>
        <v>0</v>
      </c>
      <c r="LP132" s="1333"/>
      <c r="LQ132" s="1333"/>
      <c r="LR132" s="1333"/>
      <c r="LS132" s="1333"/>
      <c r="LT132" s="1334"/>
      <c r="LY132" s="1329" t="str">
        <f>Language!$E$208</f>
        <v>Totaal:</v>
      </c>
      <c r="LZ132" s="1330"/>
      <c r="MA132" s="1331"/>
      <c r="MB132" s="1332">
        <f>SUM(MB131:MG131)</f>
        <v>0</v>
      </c>
      <c r="MC132" s="1333"/>
      <c r="MD132" s="1333"/>
      <c r="ME132" s="1333"/>
      <c r="MF132" s="1333"/>
      <c r="MG132" s="1334"/>
    </row>
    <row r="133" spans="2:345" ht="30.75" customHeight="1" thickTop="1"/>
    <row r="134" spans="2:345" ht="16.5" thickBot="1">
      <c r="B134" s="1352" t="str">
        <f>Language!$E$221</f>
        <v>Opmerking:</v>
      </c>
      <c r="C134" s="1352"/>
      <c r="D134" s="1352"/>
      <c r="E134" s="1352"/>
      <c r="F134" s="1352"/>
      <c r="G134" s="1352"/>
      <c r="H134" s="1352"/>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c r="B135" s="1337" t="str">
        <f>Language!$E$230</f>
        <v>Als u bijvoorbeeld nog tien mensen wilt toevoegen, selecteert u de kolommen HI tot en met MG en kopieert u deze naar rechts. Afgerond. (Bladbescherming verwijderen!)</v>
      </c>
      <c r="C135" s="1338"/>
      <c r="D135" s="1338"/>
      <c r="E135" s="1338"/>
      <c r="F135" s="1338"/>
      <c r="G135" s="1338"/>
      <c r="H135" s="1339"/>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c r="B136" s="1340"/>
      <c r="C136" s="1341"/>
      <c r="D136" s="1341"/>
      <c r="E136" s="1341"/>
      <c r="F136" s="1341"/>
      <c r="G136" s="1341"/>
      <c r="H136" s="1342"/>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c r="B137" s="1340"/>
      <c r="C137" s="1341"/>
      <c r="D137" s="1341"/>
      <c r="E137" s="1341"/>
      <c r="F137" s="1341"/>
      <c r="G137" s="1341"/>
      <c r="H137" s="1342"/>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c r="B138" s="1340" t="str">
        <f>Language!$E$231</f>
        <v>Om de teams te voorspellen die de achtste finales halen, plaats de teamnummers in de gele cellen.</v>
      </c>
      <c r="C138" s="1341"/>
      <c r="D138" s="1341"/>
      <c r="E138" s="1341"/>
      <c r="F138" s="1341"/>
      <c r="G138" s="1341"/>
      <c r="H138" s="1342"/>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c r="B139" s="1340"/>
      <c r="C139" s="1341"/>
      <c r="D139" s="1341"/>
      <c r="E139" s="1341"/>
      <c r="F139" s="1341"/>
      <c r="G139" s="1341"/>
      <c r="H139" s="1342"/>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c r="B140" s="1340"/>
      <c r="C140" s="1341"/>
      <c r="D140" s="1341"/>
      <c r="E140" s="1341"/>
      <c r="F140" s="1341"/>
      <c r="G140" s="1341"/>
      <c r="H140" s="1342"/>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c r="B141" s="1340" t="str">
        <f>Language!$E$232</f>
        <v>De factoren voor de individuele categorieën en andere instellingen vóóraf kunnen opgevoerd worden op het tabblad: 'Prsettings'.</v>
      </c>
      <c r="C141" s="1341"/>
      <c r="D141" s="1341"/>
      <c r="E141" s="1341"/>
      <c r="F141" s="1341"/>
      <c r="G141" s="1341"/>
      <c r="H141" s="1342"/>
    </row>
    <row r="142" spans="2:345">
      <c r="B142" s="1340"/>
      <c r="C142" s="1341"/>
      <c r="D142" s="1341"/>
      <c r="E142" s="1341"/>
      <c r="F142" s="1341"/>
      <c r="G142" s="1341"/>
      <c r="H142" s="1342"/>
    </row>
    <row r="143" spans="2:345" ht="16.5" thickBot="1">
      <c r="B143" s="1343"/>
      <c r="C143" s="1344"/>
      <c r="D143" s="1344"/>
      <c r="E143" s="1344"/>
      <c r="F143" s="1344"/>
      <c r="G143" s="1344"/>
      <c r="H143" s="1345"/>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218" priority="1863">
      <formula>Q107&gt;1</formula>
    </cfRule>
  </conditionalFormatting>
  <conditionalFormatting sqref="L116:L119 L121:L122 L107:L114">
    <cfRule type="expression" dxfId="1217" priority="1934">
      <formula>R107&gt;1</formula>
    </cfRule>
  </conditionalFormatting>
  <conditionalFormatting sqref="L90:L105">
    <cfRule type="expression" dxfId="1216" priority="1122">
      <formula>R90&gt;1</formula>
    </cfRule>
  </conditionalFormatting>
  <conditionalFormatting sqref="J90:J105">
    <cfRule type="expression" dxfId="1215" priority="1121">
      <formula>Q90&gt;1</formula>
    </cfRule>
  </conditionalFormatting>
  <conditionalFormatting sqref="J124">
    <cfRule type="expression" dxfId="1214" priority="840">
      <formula>Q124&gt;1</formula>
    </cfRule>
  </conditionalFormatting>
  <conditionalFormatting sqref="J126">
    <cfRule type="expression" dxfId="1213" priority="839">
      <formula>Q126&gt;1</formula>
    </cfRule>
  </conditionalFormatting>
  <conditionalFormatting sqref="L124">
    <cfRule type="expression" dxfId="1212" priority="838">
      <formula>R124&gt;1</formula>
    </cfRule>
  </conditionalFormatting>
  <conditionalFormatting sqref="J128">
    <cfRule type="expression" dxfId="1211" priority="837">
      <formula>Q128&gt;1</formula>
    </cfRule>
  </conditionalFormatting>
  <conditionalFormatting sqref="W107:W114 W116:W119 W121:W122">
    <cfRule type="expression" dxfId="1210" priority="224">
      <formula>AD107&gt;1</formula>
    </cfRule>
  </conditionalFormatting>
  <conditionalFormatting sqref="Y116:Y119 Y121:Y122 Y107:Y114">
    <cfRule type="expression" dxfId="1209" priority="225">
      <formula>AE107&gt;1</formula>
    </cfRule>
  </conditionalFormatting>
  <conditionalFormatting sqref="Y90:Y105">
    <cfRule type="expression" dxfId="1208" priority="223">
      <formula>AE90&gt;1</formula>
    </cfRule>
  </conditionalFormatting>
  <conditionalFormatting sqref="W90:W105">
    <cfRule type="expression" dxfId="1207" priority="222">
      <formula>AD90&gt;1</formula>
    </cfRule>
  </conditionalFormatting>
  <conditionalFormatting sqref="W124">
    <cfRule type="expression" dxfId="1206" priority="221">
      <formula>AD124&gt;1</formula>
    </cfRule>
  </conditionalFormatting>
  <conditionalFormatting sqref="W126">
    <cfRule type="expression" dxfId="1205" priority="220">
      <formula>AD126&gt;1</formula>
    </cfRule>
  </conditionalFormatting>
  <conditionalFormatting sqref="Y124">
    <cfRule type="expression" dxfId="1204" priority="219">
      <formula>AE124&gt;1</formula>
    </cfRule>
  </conditionalFormatting>
  <conditionalFormatting sqref="W128">
    <cfRule type="expression" dxfId="1203" priority="218">
      <formula>AD128&gt;1</formula>
    </cfRule>
  </conditionalFormatting>
  <conditionalFormatting sqref="AJ107:AJ114 AJ116:AJ119 AJ121:AJ122">
    <cfRule type="expression" dxfId="1202" priority="215">
      <formula>AQ107&gt;1</formula>
    </cfRule>
  </conditionalFormatting>
  <conditionalFormatting sqref="AL116:AL119 AL121:AL122 AL107:AL114">
    <cfRule type="expression" dxfId="1201" priority="216">
      <formula>AR107&gt;1</formula>
    </cfRule>
  </conditionalFormatting>
  <conditionalFormatting sqref="AL90:AL105">
    <cfRule type="expression" dxfId="1200" priority="214">
      <formula>AR90&gt;1</formula>
    </cfRule>
  </conditionalFormatting>
  <conditionalFormatting sqref="AJ90:AJ105">
    <cfRule type="expression" dxfId="1199" priority="213">
      <formula>AQ90&gt;1</formula>
    </cfRule>
  </conditionalFormatting>
  <conditionalFormatting sqref="AJ124">
    <cfRule type="expression" dxfId="1198" priority="212">
      <formula>AQ124&gt;1</formula>
    </cfRule>
  </conditionalFormatting>
  <conditionalFormatting sqref="AJ126">
    <cfRule type="expression" dxfId="1197" priority="211">
      <formula>AQ126&gt;1</formula>
    </cfRule>
  </conditionalFormatting>
  <conditionalFormatting sqref="AL124">
    <cfRule type="expression" dxfId="1196" priority="210">
      <formula>AR124&gt;1</formula>
    </cfRule>
  </conditionalFormatting>
  <conditionalFormatting sqref="AJ128">
    <cfRule type="expression" dxfId="1195" priority="209">
      <formula>AQ128&gt;1</formula>
    </cfRule>
  </conditionalFormatting>
  <conditionalFormatting sqref="AW107:AW114 AW116:AW119 AW121:AW122">
    <cfRule type="expression" dxfId="1194" priority="206">
      <formula>BD107&gt;1</formula>
    </cfRule>
  </conditionalFormatting>
  <conditionalFormatting sqref="AY116:AY119 AY121:AY122 AY107:AY114">
    <cfRule type="expression" dxfId="1193" priority="207">
      <formula>BE107&gt;1</formula>
    </cfRule>
  </conditionalFormatting>
  <conditionalFormatting sqref="AY90:AY105">
    <cfRule type="expression" dxfId="1192" priority="205">
      <formula>BE90&gt;1</formula>
    </cfRule>
  </conditionalFormatting>
  <conditionalFormatting sqref="AW90:AW105">
    <cfRule type="expression" dxfId="1191" priority="204">
      <formula>BD90&gt;1</formula>
    </cfRule>
  </conditionalFormatting>
  <conditionalFormatting sqref="AW124">
    <cfRule type="expression" dxfId="1190" priority="203">
      <formula>BD124&gt;1</formula>
    </cfRule>
  </conditionalFormatting>
  <conditionalFormatting sqref="AW126">
    <cfRule type="expression" dxfId="1189" priority="202">
      <formula>BD126&gt;1</formula>
    </cfRule>
  </conditionalFormatting>
  <conditionalFormatting sqref="AY124">
    <cfRule type="expression" dxfId="1188" priority="201">
      <formula>BE124&gt;1</formula>
    </cfRule>
  </conditionalFormatting>
  <conditionalFormatting sqref="AW128">
    <cfRule type="expression" dxfId="1187" priority="200">
      <formula>BD128&gt;1</formula>
    </cfRule>
  </conditionalFormatting>
  <conditionalFormatting sqref="BJ107:BJ114 BJ116:BJ119 BJ121:BJ122">
    <cfRule type="expression" dxfId="1186" priority="197">
      <formula>BQ107&gt;1</formula>
    </cfRule>
  </conditionalFormatting>
  <conditionalFormatting sqref="BL116:BL119 BL121:BL122 BL107:BL114">
    <cfRule type="expression" dxfId="1185" priority="198">
      <formula>BR107&gt;1</formula>
    </cfRule>
  </conditionalFormatting>
  <conditionalFormatting sqref="BL90:BL105">
    <cfRule type="expression" dxfId="1184" priority="196">
      <formula>BR90&gt;1</formula>
    </cfRule>
  </conditionalFormatting>
  <conditionalFormatting sqref="BJ90:BJ105">
    <cfRule type="expression" dxfId="1183" priority="195">
      <formula>BQ90&gt;1</formula>
    </cfRule>
  </conditionalFormatting>
  <conditionalFormatting sqref="BJ124">
    <cfRule type="expression" dxfId="1182" priority="194">
      <formula>BQ124&gt;1</formula>
    </cfRule>
  </conditionalFormatting>
  <conditionalFormatting sqref="BJ126">
    <cfRule type="expression" dxfId="1181" priority="193">
      <formula>BQ126&gt;1</formula>
    </cfRule>
  </conditionalFormatting>
  <conditionalFormatting sqref="BL124">
    <cfRule type="expression" dxfId="1180" priority="192">
      <formula>BR124&gt;1</formula>
    </cfRule>
  </conditionalFormatting>
  <conditionalFormatting sqref="BJ128">
    <cfRule type="expression" dxfId="1179" priority="191">
      <formula>BQ128&gt;1</formula>
    </cfRule>
  </conditionalFormatting>
  <conditionalFormatting sqref="BW107:BW114 BW116:BW119 BW121:BW122">
    <cfRule type="expression" dxfId="1178" priority="188">
      <formula>CD107&gt;1</formula>
    </cfRule>
  </conditionalFormatting>
  <conditionalFormatting sqref="BY116:BY119 BY121:BY122 BY107:BY114">
    <cfRule type="expression" dxfId="1177" priority="189">
      <formula>CE107&gt;1</formula>
    </cfRule>
  </conditionalFormatting>
  <conditionalFormatting sqref="BY90:BY105">
    <cfRule type="expression" dxfId="1176" priority="187">
      <formula>CE90&gt;1</formula>
    </cfRule>
  </conditionalFormatting>
  <conditionalFormatting sqref="BW90:BW105">
    <cfRule type="expression" dxfId="1175" priority="186">
      <formula>CD90&gt;1</formula>
    </cfRule>
  </conditionalFormatting>
  <conditionalFormatting sqref="BW124">
    <cfRule type="expression" dxfId="1174" priority="185">
      <formula>CD124&gt;1</formula>
    </cfRule>
  </conditionalFormatting>
  <conditionalFormatting sqref="BW126">
    <cfRule type="expression" dxfId="1173" priority="184">
      <formula>CD126&gt;1</formula>
    </cfRule>
  </conditionalFormatting>
  <conditionalFormatting sqref="BY124">
    <cfRule type="expression" dxfId="1172" priority="183">
      <formula>CE124&gt;1</formula>
    </cfRule>
  </conditionalFormatting>
  <conditionalFormatting sqref="BW128">
    <cfRule type="expression" dxfId="1171" priority="182">
      <formula>CD128&gt;1</formula>
    </cfRule>
  </conditionalFormatting>
  <conditionalFormatting sqref="CJ107:CJ114 CJ116:CJ119 CJ121:CJ122">
    <cfRule type="expression" dxfId="1170" priority="179">
      <formula>CQ107&gt;1</formula>
    </cfRule>
  </conditionalFormatting>
  <conditionalFormatting sqref="CL116:CL119 CL121:CL122 CL107:CL114">
    <cfRule type="expression" dxfId="1169" priority="180">
      <formula>CR107&gt;1</formula>
    </cfRule>
  </conditionalFormatting>
  <conditionalFormatting sqref="CL90:CL105">
    <cfRule type="expression" dxfId="1168" priority="178">
      <formula>CR90&gt;1</formula>
    </cfRule>
  </conditionalFormatting>
  <conditionalFormatting sqref="CJ90:CJ105">
    <cfRule type="expression" dxfId="1167" priority="177">
      <formula>CQ90&gt;1</formula>
    </cfRule>
  </conditionalFormatting>
  <conditionalFormatting sqref="CJ124">
    <cfRule type="expression" dxfId="1166" priority="176">
      <formula>CQ124&gt;1</formula>
    </cfRule>
  </conditionalFormatting>
  <conditionalFormatting sqref="CJ126">
    <cfRule type="expression" dxfId="1165" priority="175">
      <formula>CQ126&gt;1</formula>
    </cfRule>
  </conditionalFormatting>
  <conditionalFormatting sqref="CL124">
    <cfRule type="expression" dxfId="1164" priority="174">
      <formula>CR124&gt;1</formula>
    </cfRule>
  </conditionalFormatting>
  <conditionalFormatting sqref="CJ128">
    <cfRule type="expression" dxfId="1163" priority="173">
      <formula>CQ128&gt;1</formula>
    </cfRule>
  </conditionalFormatting>
  <conditionalFormatting sqref="CW107:CW114 CW116:CW119 CW121:CW122">
    <cfRule type="expression" dxfId="1162" priority="170">
      <formula>DD107&gt;1</formula>
    </cfRule>
  </conditionalFormatting>
  <conditionalFormatting sqref="CY116:CY119 CY121:CY122 CY107:CY114">
    <cfRule type="expression" dxfId="1161" priority="171">
      <formula>DE107&gt;1</formula>
    </cfRule>
  </conditionalFormatting>
  <conditionalFormatting sqref="CY90:CY105">
    <cfRule type="expression" dxfId="1160" priority="169">
      <formula>DE90&gt;1</formula>
    </cfRule>
  </conditionalFormatting>
  <conditionalFormatting sqref="CW90:CW105">
    <cfRule type="expression" dxfId="1159" priority="168">
      <formula>DD90&gt;1</formula>
    </cfRule>
  </conditionalFormatting>
  <conditionalFormatting sqref="CW124">
    <cfRule type="expression" dxfId="1158" priority="167">
      <formula>DD124&gt;1</formula>
    </cfRule>
  </conditionalFormatting>
  <conditionalFormatting sqref="CW126">
    <cfRule type="expression" dxfId="1157" priority="166">
      <formula>DD126&gt;1</formula>
    </cfRule>
  </conditionalFormatting>
  <conditionalFormatting sqref="CY124">
    <cfRule type="expression" dxfId="1156" priority="165">
      <formula>DE124&gt;1</formula>
    </cfRule>
  </conditionalFormatting>
  <conditionalFormatting sqref="CW128">
    <cfRule type="expression" dxfId="1155" priority="164">
      <formula>DD128&gt;1</formula>
    </cfRule>
  </conditionalFormatting>
  <conditionalFormatting sqref="DJ107:DJ114 DJ116:DJ119 DJ121:DJ122">
    <cfRule type="expression" dxfId="1154" priority="161">
      <formula>DQ107&gt;1</formula>
    </cfRule>
  </conditionalFormatting>
  <conditionalFormatting sqref="DL116:DL119 DL121:DL122 DL107:DL114">
    <cfRule type="expression" dxfId="1153" priority="162">
      <formula>DR107&gt;1</formula>
    </cfRule>
  </conditionalFormatting>
  <conditionalFormatting sqref="DL90:DL105">
    <cfRule type="expression" dxfId="1152" priority="160">
      <formula>DR90&gt;1</formula>
    </cfRule>
  </conditionalFormatting>
  <conditionalFormatting sqref="DJ90:DJ105">
    <cfRule type="expression" dxfId="1151" priority="159">
      <formula>DQ90&gt;1</formula>
    </cfRule>
  </conditionalFormatting>
  <conditionalFormatting sqref="DJ124">
    <cfRule type="expression" dxfId="1150" priority="158">
      <formula>DQ124&gt;1</formula>
    </cfRule>
  </conditionalFormatting>
  <conditionalFormatting sqref="DJ126">
    <cfRule type="expression" dxfId="1149" priority="157">
      <formula>DQ126&gt;1</formula>
    </cfRule>
  </conditionalFormatting>
  <conditionalFormatting sqref="DL124">
    <cfRule type="expression" dxfId="1148" priority="156">
      <formula>DR124&gt;1</formula>
    </cfRule>
  </conditionalFormatting>
  <conditionalFormatting sqref="DJ128">
    <cfRule type="expression" dxfId="1147" priority="155">
      <formula>DQ128&gt;1</formula>
    </cfRule>
  </conditionalFormatting>
  <conditionalFormatting sqref="DW107:DW114 DW116:DW119 DW121:DW122">
    <cfRule type="expression" dxfId="1146" priority="152">
      <formula>ED107&gt;1</formula>
    </cfRule>
  </conditionalFormatting>
  <conditionalFormatting sqref="DY116:DY119 DY121:DY122 DY107:DY114">
    <cfRule type="expression" dxfId="1145" priority="153">
      <formula>EE107&gt;1</formula>
    </cfRule>
  </conditionalFormatting>
  <conditionalFormatting sqref="DY90:DY105">
    <cfRule type="expression" dxfId="1144" priority="151">
      <formula>EE90&gt;1</formula>
    </cfRule>
  </conditionalFormatting>
  <conditionalFormatting sqref="DW90:DW105">
    <cfRule type="expression" dxfId="1143" priority="150">
      <formula>ED90&gt;1</formula>
    </cfRule>
  </conditionalFormatting>
  <conditionalFormatting sqref="DW124">
    <cfRule type="expression" dxfId="1142" priority="149">
      <formula>ED124&gt;1</formula>
    </cfRule>
  </conditionalFormatting>
  <conditionalFormatting sqref="DW126">
    <cfRule type="expression" dxfId="1141" priority="148">
      <formula>ED126&gt;1</formula>
    </cfRule>
  </conditionalFormatting>
  <conditionalFormatting sqref="DY124">
    <cfRule type="expression" dxfId="1140" priority="147">
      <formula>EE124&gt;1</formula>
    </cfRule>
  </conditionalFormatting>
  <conditionalFormatting sqref="DW128">
    <cfRule type="expression" dxfId="1139" priority="146">
      <formula>ED128&gt;1</formula>
    </cfRule>
  </conditionalFormatting>
  <conditionalFormatting sqref="EJ107:EJ114 EJ116:EJ119 EJ121:EJ122">
    <cfRule type="expression" dxfId="1138" priority="143">
      <formula>EQ107&gt;1</formula>
    </cfRule>
  </conditionalFormatting>
  <conditionalFormatting sqref="EL116:EL119 EL121:EL122 EL107:EL114">
    <cfRule type="expression" dxfId="1137" priority="144">
      <formula>ER107&gt;1</formula>
    </cfRule>
  </conditionalFormatting>
  <conditionalFormatting sqref="EL90:EL105">
    <cfRule type="expression" dxfId="1136" priority="142">
      <formula>ER90&gt;1</formula>
    </cfRule>
  </conditionalFormatting>
  <conditionalFormatting sqref="EJ90:EJ105">
    <cfRule type="expression" dxfId="1135" priority="141">
      <formula>EQ90&gt;1</formula>
    </cfRule>
  </conditionalFormatting>
  <conditionalFormatting sqref="EJ124">
    <cfRule type="expression" dxfId="1134" priority="140">
      <formula>EQ124&gt;1</formula>
    </cfRule>
  </conditionalFormatting>
  <conditionalFormatting sqref="EJ126">
    <cfRule type="expression" dxfId="1133" priority="139">
      <formula>EQ126&gt;1</formula>
    </cfRule>
  </conditionalFormatting>
  <conditionalFormatting sqref="EL124">
    <cfRule type="expression" dxfId="1132" priority="138">
      <formula>ER124&gt;1</formula>
    </cfRule>
  </conditionalFormatting>
  <conditionalFormatting sqref="EJ128">
    <cfRule type="expression" dxfId="1131" priority="137">
      <formula>EQ128&gt;1</formula>
    </cfRule>
  </conditionalFormatting>
  <conditionalFormatting sqref="EW107:EW114 EW116:EW119 EW121:EW122">
    <cfRule type="expression" dxfId="1130" priority="134">
      <formula>FD107&gt;1</formula>
    </cfRule>
  </conditionalFormatting>
  <conditionalFormatting sqref="EY116:EY119 EY121:EY122 EY107:EY114">
    <cfRule type="expression" dxfId="1129" priority="135">
      <formula>FE107&gt;1</formula>
    </cfRule>
  </conditionalFormatting>
  <conditionalFormatting sqref="EY90:EY105">
    <cfRule type="expression" dxfId="1128" priority="133">
      <formula>FE90&gt;1</formula>
    </cfRule>
  </conditionalFormatting>
  <conditionalFormatting sqref="EW90:EW105">
    <cfRule type="expression" dxfId="1127" priority="132">
      <formula>FD90&gt;1</formula>
    </cfRule>
  </conditionalFormatting>
  <conditionalFormatting sqref="EW124">
    <cfRule type="expression" dxfId="1126" priority="131">
      <formula>FD124&gt;1</formula>
    </cfRule>
  </conditionalFormatting>
  <conditionalFormatting sqref="EW126">
    <cfRule type="expression" dxfId="1125" priority="130">
      <formula>FD126&gt;1</formula>
    </cfRule>
  </conditionalFormatting>
  <conditionalFormatting sqref="EY124">
    <cfRule type="expression" dxfId="1124" priority="129">
      <formula>FE124&gt;1</formula>
    </cfRule>
  </conditionalFormatting>
  <conditionalFormatting sqref="EW128">
    <cfRule type="expression" dxfId="1123" priority="128">
      <formula>FD128&gt;1</formula>
    </cfRule>
  </conditionalFormatting>
  <conditionalFormatting sqref="FJ107:FJ114 FJ116:FJ119 FJ121:FJ122">
    <cfRule type="expression" dxfId="1122" priority="125">
      <formula>FQ107&gt;1</formula>
    </cfRule>
  </conditionalFormatting>
  <conditionalFormatting sqref="FL116:FL119 FL121:FL122 FL107:FL114">
    <cfRule type="expression" dxfId="1121" priority="126">
      <formula>FR107&gt;1</formula>
    </cfRule>
  </conditionalFormatting>
  <conditionalFormatting sqref="FL90:FL105">
    <cfRule type="expression" dxfId="1120" priority="124">
      <formula>FR90&gt;1</formula>
    </cfRule>
  </conditionalFormatting>
  <conditionalFormatting sqref="FJ90:FJ105">
    <cfRule type="expression" dxfId="1119" priority="123">
      <formula>FQ90&gt;1</formula>
    </cfRule>
  </conditionalFormatting>
  <conditionalFormatting sqref="FJ124">
    <cfRule type="expression" dxfId="1118" priority="122">
      <formula>FQ124&gt;1</formula>
    </cfRule>
  </conditionalFormatting>
  <conditionalFormatting sqref="FJ126">
    <cfRule type="expression" dxfId="1117" priority="121">
      <formula>FQ126&gt;1</formula>
    </cfRule>
  </conditionalFormatting>
  <conditionalFormatting sqref="FL124">
    <cfRule type="expression" dxfId="1116" priority="120">
      <formula>FR124&gt;1</formula>
    </cfRule>
  </conditionalFormatting>
  <conditionalFormatting sqref="FJ128">
    <cfRule type="expression" dxfId="1115" priority="119">
      <formula>FQ128&gt;1</formula>
    </cfRule>
  </conditionalFormatting>
  <conditionalFormatting sqref="FW107:FW114 FW116:FW119 FW121:FW122">
    <cfRule type="expression" dxfId="1114" priority="116">
      <formula>GD107&gt;1</formula>
    </cfRule>
  </conditionalFormatting>
  <conditionalFormatting sqref="FY116:FY119 FY121:FY122 FY107:FY114">
    <cfRule type="expression" dxfId="1113" priority="117">
      <formula>GE107&gt;1</formula>
    </cfRule>
  </conditionalFormatting>
  <conditionalFormatting sqref="FY90:FY105">
    <cfRule type="expression" dxfId="1112" priority="115">
      <formula>GE90&gt;1</formula>
    </cfRule>
  </conditionalFormatting>
  <conditionalFormatting sqref="FW90:FW105">
    <cfRule type="expression" dxfId="1111" priority="114">
      <formula>GD90&gt;1</formula>
    </cfRule>
  </conditionalFormatting>
  <conditionalFormatting sqref="FW124">
    <cfRule type="expression" dxfId="1110" priority="113">
      <formula>GD124&gt;1</formula>
    </cfRule>
  </conditionalFormatting>
  <conditionalFormatting sqref="FW126">
    <cfRule type="expression" dxfId="1109" priority="112">
      <formula>GD126&gt;1</formula>
    </cfRule>
  </conditionalFormatting>
  <conditionalFormatting sqref="FY124">
    <cfRule type="expression" dxfId="1108" priority="111">
      <formula>GE124&gt;1</formula>
    </cfRule>
  </conditionalFormatting>
  <conditionalFormatting sqref="FW128">
    <cfRule type="expression" dxfId="1107" priority="110">
      <formula>GD128&gt;1</formula>
    </cfRule>
  </conditionalFormatting>
  <conditionalFormatting sqref="GJ107:GJ114 GJ116:GJ119 GJ121:GJ122">
    <cfRule type="expression" dxfId="1106" priority="107">
      <formula>GQ107&gt;1</formula>
    </cfRule>
  </conditionalFormatting>
  <conditionalFormatting sqref="GL116:GL119 GL121:GL122 GL107:GL114">
    <cfRule type="expression" dxfId="1105" priority="108">
      <formula>GR107&gt;1</formula>
    </cfRule>
  </conditionalFormatting>
  <conditionalFormatting sqref="GL90:GL105">
    <cfRule type="expression" dxfId="1104" priority="106">
      <formula>GR90&gt;1</formula>
    </cfRule>
  </conditionalFormatting>
  <conditionalFormatting sqref="GJ90:GJ105">
    <cfRule type="expression" dxfId="1103" priority="105">
      <formula>GQ90&gt;1</formula>
    </cfRule>
  </conditionalFormatting>
  <conditionalFormatting sqref="GJ124">
    <cfRule type="expression" dxfId="1102" priority="104">
      <formula>GQ124&gt;1</formula>
    </cfRule>
  </conditionalFormatting>
  <conditionalFormatting sqref="GJ126">
    <cfRule type="expression" dxfId="1101" priority="103">
      <formula>GQ126&gt;1</formula>
    </cfRule>
  </conditionalFormatting>
  <conditionalFormatting sqref="GL124">
    <cfRule type="expression" dxfId="1100" priority="102">
      <formula>GR124&gt;1</formula>
    </cfRule>
  </conditionalFormatting>
  <conditionalFormatting sqref="GJ128">
    <cfRule type="expression" dxfId="1099" priority="101">
      <formula>GQ128&gt;1</formula>
    </cfRule>
  </conditionalFormatting>
  <conditionalFormatting sqref="GW107:GW114 GW116:GW119 GW121:GW122">
    <cfRule type="expression" dxfId="1098" priority="98">
      <formula>HD107&gt;1</formula>
    </cfRule>
  </conditionalFormatting>
  <conditionalFormatting sqref="GY116:GY119 GY121:GY122 GY107:GY114">
    <cfRule type="expression" dxfId="1097" priority="99">
      <formula>HE107&gt;1</formula>
    </cfRule>
  </conditionalFormatting>
  <conditionalFormatting sqref="GY90:GY105">
    <cfRule type="expression" dxfId="1096" priority="97">
      <formula>HE90&gt;1</formula>
    </cfRule>
  </conditionalFormatting>
  <conditionalFormatting sqref="GW90:GW105">
    <cfRule type="expression" dxfId="1095" priority="96">
      <formula>HD90&gt;1</formula>
    </cfRule>
  </conditionalFormatting>
  <conditionalFormatting sqref="GW124">
    <cfRule type="expression" dxfId="1094" priority="95">
      <formula>HD124&gt;1</formula>
    </cfRule>
  </conditionalFormatting>
  <conditionalFormatting sqref="GW126">
    <cfRule type="expression" dxfId="1093" priority="94">
      <formula>HD126&gt;1</formula>
    </cfRule>
  </conditionalFormatting>
  <conditionalFormatting sqref="GY124">
    <cfRule type="expression" dxfId="1092" priority="93">
      <formula>HE124&gt;1</formula>
    </cfRule>
  </conditionalFormatting>
  <conditionalFormatting sqref="GW128">
    <cfRule type="expression" dxfId="1091" priority="92">
      <formula>HD128&gt;1</formula>
    </cfRule>
  </conditionalFormatting>
  <conditionalFormatting sqref="HJ107:HJ114 HJ116:HJ119 HJ121:HJ122">
    <cfRule type="expression" dxfId="1090" priority="89">
      <formula>HQ107&gt;1</formula>
    </cfRule>
  </conditionalFormatting>
  <conditionalFormatting sqref="HL116:HL119 HL121:HL122 HL107:HL114">
    <cfRule type="expression" dxfId="1089" priority="90">
      <formula>HR107&gt;1</formula>
    </cfRule>
  </conditionalFormatting>
  <conditionalFormatting sqref="HL90:HL105">
    <cfRule type="expression" dxfId="1088" priority="88">
      <formula>HR90&gt;1</formula>
    </cfRule>
  </conditionalFormatting>
  <conditionalFormatting sqref="HJ90:HJ105">
    <cfRule type="expression" dxfId="1087" priority="87">
      <formula>HQ90&gt;1</formula>
    </cfRule>
  </conditionalFormatting>
  <conditionalFormatting sqref="HJ124">
    <cfRule type="expression" dxfId="1086" priority="86">
      <formula>HQ124&gt;1</formula>
    </cfRule>
  </conditionalFormatting>
  <conditionalFormatting sqref="HJ126">
    <cfRule type="expression" dxfId="1085" priority="85">
      <formula>HQ126&gt;1</formula>
    </cfRule>
  </conditionalFormatting>
  <conditionalFormatting sqref="HL124">
    <cfRule type="expression" dxfId="1084" priority="84">
      <formula>HR124&gt;1</formula>
    </cfRule>
  </conditionalFormatting>
  <conditionalFormatting sqref="HJ128">
    <cfRule type="expression" dxfId="1083" priority="83">
      <formula>HQ128&gt;1</formula>
    </cfRule>
  </conditionalFormatting>
  <conditionalFormatting sqref="HW107:HW114 HW116:HW119 HW121:HW122">
    <cfRule type="expression" dxfId="1082" priority="80">
      <formula>ID107&gt;1</formula>
    </cfRule>
  </conditionalFormatting>
  <conditionalFormatting sqref="HY116:HY119 HY121:HY122 HY107:HY114">
    <cfRule type="expression" dxfId="1081" priority="81">
      <formula>IE107&gt;1</formula>
    </cfRule>
  </conditionalFormatting>
  <conditionalFormatting sqref="HY90:HY105">
    <cfRule type="expression" dxfId="1080" priority="79">
      <formula>IE90&gt;1</formula>
    </cfRule>
  </conditionalFormatting>
  <conditionalFormatting sqref="HW90:HW105">
    <cfRule type="expression" dxfId="1079" priority="78">
      <formula>ID90&gt;1</formula>
    </cfRule>
  </conditionalFormatting>
  <conditionalFormatting sqref="HW124">
    <cfRule type="expression" dxfId="1078" priority="77">
      <formula>ID124&gt;1</formula>
    </cfRule>
  </conditionalFormatting>
  <conditionalFormatting sqref="HW126">
    <cfRule type="expression" dxfId="1077" priority="76">
      <formula>ID126&gt;1</formula>
    </cfRule>
  </conditionalFormatting>
  <conditionalFormatting sqref="HY124">
    <cfRule type="expression" dxfId="1076" priority="75">
      <formula>IE124&gt;1</formula>
    </cfRule>
  </conditionalFormatting>
  <conditionalFormatting sqref="HW128">
    <cfRule type="expression" dxfId="1075" priority="74">
      <formula>ID128&gt;1</formula>
    </cfRule>
  </conditionalFormatting>
  <conditionalFormatting sqref="IJ107:IJ114 IJ116:IJ119 IJ121:IJ122">
    <cfRule type="expression" dxfId="1074" priority="71">
      <formula>IQ107&gt;1</formula>
    </cfRule>
  </conditionalFormatting>
  <conditionalFormatting sqref="IL116:IL119 IL121:IL122 IL107:IL114">
    <cfRule type="expression" dxfId="1073" priority="72">
      <formula>IR107&gt;1</formula>
    </cfRule>
  </conditionalFormatting>
  <conditionalFormatting sqref="IL90:IL105">
    <cfRule type="expression" dxfId="1072" priority="70">
      <formula>IR90&gt;1</formula>
    </cfRule>
  </conditionalFormatting>
  <conditionalFormatting sqref="IJ90:IJ105">
    <cfRule type="expression" dxfId="1071" priority="69">
      <formula>IQ90&gt;1</formula>
    </cfRule>
  </conditionalFormatting>
  <conditionalFormatting sqref="IJ124">
    <cfRule type="expression" dxfId="1070" priority="68">
      <formula>IQ124&gt;1</formula>
    </cfRule>
  </conditionalFormatting>
  <conditionalFormatting sqref="IJ126">
    <cfRule type="expression" dxfId="1069" priority="67">
      <formula>IQ126&gt;1</formula>
    </cfRule>
  </conditionalFormatting>
  <conditionalFormatting sqref="IL124">
    <cfRule type="expression" dxfId="1068" priority="66">
      <formula>IR124&gt;1</formula>
    </cfRule>
  </conditionalFormatting>
  <conditionalFormatting sqref="IJ128">
    <cfRule type="expression" dxfId="1067" priority="65">
      <formula>IQ128&gt;1</formula>
    </cfRule>
  </conditionalFormatting>
  <conditionalFormatting sqref="IW107:IW114 IW116:IW119 IW121:IW122">
    <cfRule type="expression" dxfId="1066" priority="62">
      <formula>JD107&gt;1</formula>
    </cfRule>
  </conditionalFormatting>
  <conditionalFormatting sqref="IY116:IY119 IY121:IY122 IY107:IY114">
    <cfRule type="expression" dxfId="1065" priority="63">
      <formula>JE107&gt;1</formula>
    </cfRule>
  </conditionalFormatting>
  <conditionalFormatting sqref="IY90:IY105">
    <cfRule type="expression" dxfId="1064" priority="61">
      <formula>JE90&gt;1</formula>
    </cfRule>
  </conditionalFormatting>
  <conditionalFormatting sqref="IW90:IW105">
    <cfRule type="expression" dxfId="1063" priority="60">
      <formula>JD90&gt;1</formula>
    </cfRule>
  </conditionalFormatting>
  <conditionalFormatting sqref="IW124">
    <cfRule type="expression" dxfId="1062" priority="59">
      <formula>JD124&gt;1</formula>
    </cfRule>
  </conditionalFormatting>
  <conditionalFormatting sqref="IW126">
    <cfRule type="expression" dxfId="1061" priority="58">
      <formula>JD126&gt;1</formula>
    </cfRule>
  </conditionalFormatting>
  <conditionalFormatting sqref="IY124">
    <cfRule type="expression" dxfId="1060" priority="57">
      <formula>JE124&gt;1</formula>
    </cfRule>
  </conditionalFormatting>
  <conditionalFormatting sqref="IW128">
    <cfRule type="expression" dxfId="1059" priority="56">
      <formula>JD128&gt;1</formula>
    </cfRule>
  </conditionalFormatting>
  <conditionalFormatting sqref="JJ107:JJ114 JJ116:JJ119 JJ121:JJ122">
    <cfRule type="expression" dxfId="1058" priority="53">
      <formula>JQ107&gt;1</formula>
    </cfRule>
  </conditionalFormatting>
  <conditionalFormatting sqref="JL116:JL119 JL121:JL122 JL107:JL114">
    <cfRule type="expression" dxfId="1057" priority="54">
      <formula>JR107&gt;1</formula>
    </cfRule>
  </conditionalFormatting>
  <conditionalFormatting sqref="JL90:JL105">
    <cfRule type="expression" dxfId="1056" priority="52">
      <formula>JR90&gt;1</formula>
    </cfRule>
  </conditionalFormatting>
  <conditionalFormatting sqref="JJ90:JJ105">
    <cfRule type="expression" dxfId="1055" priority="51">
      <formula>JQ90&gt;1</formula>
    </cfRule>
  </conditionalFormatting>
  <conditionalFormatting sqref="JJ124">
    <cfRule type="expression" dxfId="1054" priority="50">
      <formula>JQ124&gt;1</formula>
    </cfRule>
  </conditionalFormatting>
  <conditionalFormatting sqref="JJ126">
    <cfRule type="expression" dxfId="1053" priority="49">
      <formula>JQ126&gt;1</formula>
    </cfRule>
  </conditionalFormatting>
  <conditionalFormatting sqref="JL124">
    <cfRule type="expression" dxfId="1052" priority="48">
      <formula>JR124&gt;1</formula>
    </cfRule>
  </conditionalFormatting>
  <conditionalFormatting sqref="JJ128">
    <cfRule type="expression" dxfId="1051" priority="47">
      <formula>JQ128&gt;1</formula>
    </cfRule>
  </conditionalFormatting>
  <conditionalFormatting sqref="JW107:JW114 JW116:JW119 JW121:JW122">
    <cfRule type="expression" dxfId="1050" priority="44">
      <formula>KD107&gt;1</formula>
    </cfRule>
  </conditionalFormatting>
  <conditionalFormatting sqref="JY116:JY119 JY121:JY122 JY107:JY114">
    <cfRule type="expression" dxfId="1049" priority="45">
      <formula>KE107&gt;1</formula>
    </cfRule>
  </conditionalFormatting>
  <conditionalFormatting sqref="JY90:JY105">
    <cfRule type="expression" dxfId="1048" priority="43">
      <formula>KE90&gt;1</formula>
    </cfRule>
  </conditionalFormatting>
  <conditionalFormatting sqref="JW90:JW105">
    <cfRule type="expression" dxfId="1047" priority="42">
      <formula>KD90&gt;1</formula>
    </cfRule>
  </conditionalFormatting>
  <conditionalFormatting sqref="JW124">
    <cfRule type="expression" dxfId="1046" priority="41">
      <formula>KD124&gt;1</formula>
    </cfRule>
  </conditionalFormatting>
  <conditionalFormatting sqref="JW126">
    <cfRule type="expression" dxfId="1045" priority="40">
      <formula>KD126&gt;1</formula>
    </cfRule>
  </conditionalFormatting>
  <conditionalFormatting sqref="JY124">
    <cfRule type="expression" dxfId="1044" priority="39">
      <formula>KE124&gt;1</formula>
    </cfRule>
  </conditionalFormatting>
  <conditionalFormatting sqref="JW128">
    <cfRule type="expression" dxfId="1043" priority="38">
      <formula>KD128&gt;1</formula>
    </cfRule>
  </conditionalFormatting>
  <conditionalFormatting sqref="KJ107:KJ114 KJ116:KJ119 KJ121:KJ122">
    <cfRule type="expression" dxfId="1042" priority="35">
      <formula>KQ107&gt;1</formula>
    </cfRule>
  </conditionalFormatting>
  <conditionalFormatting sqref="KL116:KL119 KL121:KL122 KL107:KL114">
    <cfRule type="expression" dxfId="1041" priority="36">
      <formula>KR107&gt;1</formula>
    </cfRule>
  </conditionalFormatting>
  <conditionalFormatting sqref="KL90:KL105">
    <cfRule type="expression" dxfId="1040" priority="34">
      <formula>KR90&gt;1</formula>
    </cfRule>
  </conditionalFormatting>
  <conditionalFormatting sqref="KJ90:KJ105">
    <cfRule type="expression" dxfId="1039" priority="33">
      <formula>KQ90&gt;1</formula>
    </cfRule>
  </conditionalFormatting>
  <conditionalFormatting sqref="KJ124">
    <cfRule type="expression" dxfId="1038" priority="32">
      <formula>KQ124&gt;1</formula>
    </cfRule>
  </conditionalFormatting>
  <conditionalFormatting sqref="KJ126">
    <cfRule type="expression" dxfId="1037" priority="31">
      <formula>KQ126&gt;1</formula>
    </cfRule>
  </conditionalFormatting>
  <conditionalFormatting sqref="KL124">
    <cfRule type="expression" dxfId="1036" priority="30">
      <formula>KR124&gt;1</formula>
    </cfRule>
  </conditionalFormatting>
  <conditionalFormatting sqref="KJ128">
    <cfRule type="expression" dxfId="1035" priority="29">
      <formula>KQ128&gt;1</formula>
    </cfRule>
  </conditionalFormatting>
  <conditionalFormatting sqref="KW107:KW114 KW116:KW119 KW121:KW122">
    <cfRule type="expression" dxfId="1034" priority="26">
      <formula>LD107&gt;1</formula>
    </cfRule>
  </conditionalFormatting>
  <conditionalFormatting sqref="KY116:KY119 KY121:KY122 KY107:KY114">
    <cfRule type="expression" dxfId="1033" priority="27">
      <formula>LE107&gt;1</formula>
    </cfRule>
  </conditionalFormatting>
  <conditionalFormatting sqref="KY90:KY105">
    <cfRule type="expression" dxfId="1032" priority="25">
      <formula>LE90&gt;1</formula>
    </cfRule>
  </conditionalFormatting>
  <conditionalFormatting sqref="KW90:KW105">
    <cfRule type="expression" dxfId="1031" priority="24">
      <formula>LD90&gt;1</formula>
    </cfRule>
  </conditionalFormatting>
  <conditionalFormatting sqref="KW124">
    <cfRule type="expression" dxfId="1030" priority="23">
      <formula>LD124&gt;1</formula>
    </cfRule>
  </conditionalFormatting>
  <conditionalFormatting sqref="KW126">
    <cfRule type="expression" dxfId="1029" priority="22">
      <formula>LD126&gt;1</formula>
    </cfRule>
  </conditionalFormatting>
  <conditionalFormatting sqref="KY124">
    <cfRule type="expression" dxfId="1028" priority="21">
      <formula>LE124&gt;1</formula>
    </cfRule>
  </conditionalFormatting>
  <conditionalFormatting sqref="KW128">
    <cfRule type="expression" dxfId="1027" priority="20">
      <formula>LD128&gt;1</formula>
    </cfRule>
  </conditionalFormatting>
  <conditionalFormatting sqref="LJ107:LJ114 LJ116:LJ119 LJ121:LJ122">
    <cfRule type="expression" dxfId="1026" priority="17">
      <formula>LQ107&gt;1</formula>
    </cfRule>
  </conditionalFormatting>
  <conditionalFormatting sqref="LL116:LL119 LL121:LL122 LL107:LL114">
    <cfRule type="expression" dxfId="1025" priority="18">
      <formula>LR107&gt;1</formula>
    </cfRule>
  </conditionalFormatting>
  <conditionalFormatting sqref="LL90:LL105">
    <cfRule type="expression" dxfId="1024" priority="16">
      <formula>LR90&gt;1</formula>
    </cfRule>
  </conditionalFormatting>
  <conditionalFormatting sqref="LJ90:LJ105">
    <cfRule type="expression" dxfId="1023" priority="15">
      <formula>LQ90&gt;1</formula>
    </cfRule>
  </conditionalFormatting>
  <conditionalFormatting sqref="LJ124">
    <cfRule type="expression" dxfId="1022" priority="14">
      <formula>LQ124&gt;1</formula>
    </cfRule>
  </conditionalFormatting>
  <conditionalFormatting sqref="LJ126">
    <cfRule type="expression" dxfId="1021" priority="13">
      <formula>LQ126&gt;1</formula>
    </cfRule>
  </conditionalFormatting>
  <conditionalFormatting sqref="LL124">
    <cfRule type="expression" dxfId="1020" priority="12">
      <formula>LR124&gt;1</formula>
    </cfRule>
  </conditionalFormatting>
  <conditionalFormatting sqref="LJ128">
    <cfRule type="expression" dxfId="1019" priority="11">
      <formula>LQ128&gt;1</formula>
    </cfRule>
  </conditionalFormatting>
  <conditionalFormatting sqref="LW107:LW114 LW116:LW119 LW121:LW122">
    <cfRule type="expression" dxfId="1018" priority="8">
      <formula>MD107&gt;1</formula>
    </cfRule>
  </conditionalFormatting>
  <conditionalFormatting sqref="LY116:LY119 LY121:LY122 LY107:LY114">
    <cfRule type="expression" dxfId="1017" priority="9">
      <formula>ME107&gt;1</formula>
    </cfRule>
  </conditionalFormatting>
  <conditionalFormatting sqref="LY90:LY105">
    <cfRule type="expression" dxfId="1016" priority="7">
      <formula>ME90&gt;1</formula>
    </cfRule>
  </conditionalFormatting>
  <conditionalFormatting sqref="LW90:LW105">
    <cfRule type="expression" dxfId="1015" priority="6">
      <formula>MD90&gt;1</formula>
    </cfRule>
  </conditionalFormatting>
  <conditionalFormatting sqref="LW124">
    <cfRule type="expression" dxfId="1014" priority="5">
      <formula>MD124&gt;1</formula>
    </cfRule>
  </conditionalFormatting>
  <conditionalFormatting sqref="LW126">
    <cfRule type="expression" dxfId="1013" priority="4">
      <formula>MD126&gt;1</formula>
    </cfRule>
  </conditionalFormatting>
  <conditionalFormatting sqref="LY124">
    <cfRule type="expression" dxfId="1012" priority="3">
      <formula>ME124&gt;1</formula>
    </cfRule>
  </conditionalFormatting>
  <conditionalFormatting sqref="LW128">
    <cfRule type="expression" dxfId="101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53" t="str">
        <f>Language!$E$127</f>
        <v xml:space="preserve">Voorspellingsklassificatie </v>
      </c>
      <c r="C1" s="1353"/>
      <c r="D1" s="1353"/>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row r="105"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2578125" defaultRowHeight="15.7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58" t="str">
        <f>Language!$E$204</f>
        <v>Voorspellingen</v>
      </c>
      <c r="C1" s="1358"/>
      <c r="D1" s="1358"/>
      <c r="E1" s="1358"/>
      <c r="F1" s="1358"/>
      <c r="G1" s="1358"/>
    </row>
    <row r="2" spans="1:345" ht="18.75" customHeight="1">
      <c r="A2" s="232"/>
      <c r="B2" s="232"/>
      <c r="C2" s="233"/>
      <c r="D2" s="233"/>
      <c r="E2" s="233"/>
      <c r="I2" s="1357">
        <f>O130</f>
        <v>0</v>
      </c>
      <c r="J2" s="1357"/>
      <c r="K2" s="1357"/>
      <c r="L2" s="1357"/>
      <c r="M2" s="1357"/>
      <c r="N2" s="1357"/>
      <c r="O2" s="1357"/>
      <c r="P2" s="1357"/>
      <c r="Q2" s="1357"/>
      <c r="R2" s="1357"/>
      <c r="S2" s="1357"/>
      <c r="T2" s="1357"/>
      <c r="V2" s="1357">
        <f>AB130</f>
        <v>0</v>
      </c>
      <c r="W2" s="1357"/>
      <c r="X2" s="1357"/>
      <c r="Y2" s="1357"/>
      <c r="Z2" s="1357"/>
      <c r="AA2" s="1357"/>
      <c r="AB2" s="1357"/>
      <c r="AC2" s="1357"/>
      <c r="AD2" s="1357"/>
      <c r="AE2" s="1357"/>
      <c r="AF2" s="1357"/>
      <c r="AG2" s="1357"/>
      <c r="AI2" s="1357">
        <f>AO130</f>
        <v>0</v>
      </c>
      <c r="AJ2" s="1357"/>
      <c r="AK2" s="1357"/>
      <c r="AL2" s="1357"/>
      <c r="AM2" s="1357"/>
      <c r="AN2" s="1357"/>
      <c r="AO2" s="1357"/>
      <c r="AP2" s="1357"/>
      <c r="AQ2" s="1357"/>
      <c r="AR2" s="1357"/>
      <c r="AS2" s="1357"/>
      <c r="AT2" s="1357"/>
      <c r="AV2" s="1357">
        <f>BB130</f>
        <v>0</v>
      </c>
      <c r="AW2" s="1357"/>
      <c r="AX2" s="1357"/>
      <c r="AY2" s="1357"/>
      <c r="AZ2" s="1357"/>
      <c r="BA2" s="1357"/>
      <c r="BB2" s="1357"/>
      <c r="BC2" s="1357"/>
      <c r="BD2" s="1357"/>
      <c r="BE2" s="1357"/>
      <c r="BF2" s="1357"/>
      <c r="BG2" s="1357"/>
      <c r="BI2" s="1357">
        <f>BO130</f>
        <v>0</v>
      </c>
      <c r="BJ2" s="1357"/>
      <c r="BK2" s="1357"/>
      <c r="BL2" s="1357"/>
      <c r="BM2" s="1357"/>
      <c r="BN2" s="1357"/>
      <c r="BO2" s="1357"/>
      <c r="BP2" s="1357"/>
      <c r="BQ2" s="1357"/>
      <c r="BR2" s="1357"/>
      <c r="BS2" s="1357"/>
      <c r="BT2" s="1357"/>
      <c r="BV2" s="1357">
        <f>CB130</f>
        <v>0</v>
      </c>
      <c r="BW2" s="1357"/>
      <c r="BX2" s="1357"/>
      <c r="BY2" s="1357"/>
      <c r="BZ2" s="1357"/>
      <c r="CA2" s="1357"/>
      <c r="CB2" s="1357"/>
      <c r="CC2" s="1357"/>
      <c r="CD2" s="1357"/>
      <c r="CE2" s="1357"/>
      <c r="CF2" s="1357"/>
      <c r="CG2" s="1357"/>
      <c r="CI2" s="1357">
        <f>CO130</f>
        <v>0</v>
      </c>
      <c r="CJ2" s="1357"/>
      <c r="CK2" s="1357"/>
      <c r="CL2" s="1357"/>
      <c r="CM2" s="1357"/>
      <c r="CN2" s="1357"/>
      <c r="CO2" s="1357"/>
      <c r="CP2" s="1357"/>
      <c r="CQ2" s="1357"/>
      <c r="CR2" s="1357"/>
      <c r="CS2" s="1357"/>
      <c r="CT2" s="1357"/>
      <c r="CV2" s="1357">
        <f>DB130</f>
        <v>0</v>
      </c>
      <c r="CW2" s="1357"/>
      <c r="CX2" s="1357"/>
      <c r="CY2" s="1357"/>
      <c r="CZ2" s="1357"/>
      <c r="DA2" s="1357"/>
      <c r="DB2" s="1357"/>
      <c r="DC2" s="1357"/>
      <c r="DD2" s="1357"/>
      <c r="DE2" s="1357"/>
      <c r="DF2" s="1357"/>
      <c r="DG2" s="1357"/>
      <c r="DI2" s="1357">
        <f>DO130</f>
        <v>0</v>
      </c>
      <c r="DJ2" s="1357"/>
      <c r="DK2" s="1357"/>
      <c r="DL2" s="1357"/>
      <c r="DM2" s="1357"/>
      <c r="DN2" s="1357"/>
      <c r="DO2" s="1357"/>
      <c r="DP2" s="1357"/>
      <c r="DQ2" s="1357"/>
      <c r="DR2" s="1357"/>
      <c r="DS2" s="1357"/>
      <c r="DT2" s="1357"/>
      <c r="DV2" s="1357">
        <f>EB130</f>
        <v>0</v>
      </c>
      <c r="DW2" s="1357"/>
      <c r="DX2" s="1357"/>
      <c r="DY2" s="1357"/>
      <c r="DZ2" s="1357"/>
      <c r="EA2" s="1357"/>
      <c r="EB2" s="1357"/>
      <c r="EC2" s="1357"/>
      <c r="ED2" s="1357"/>
      <c r="EE2" s="1357"/>
      <c r="EF2" s="1357"/>
      <c r="EG2" s="1357"/>
      <c r="EI2" s="1357">
        <f>EO130</f>
        <v>0</v>
      </c>
      <c r="EJ2" s="1357"/>
      <c r="EK2" s="1357"/>
      <c r="EL2" s="1357"/>
      <c r="EM2" s="1357"/>
      <c r="EN2" s="1357"/>
      <c r="EO2" s="1357"/>
      <c r="EP2" s="1357"/>
      <c r="EQ2" s="1357"/>
      <c r="ER2" s="1357"/>
      <c r="ES2" s="1357"/>
      <c r="ET2" s="1357"/>
      <c r="EV2" s="1357">
        <f>FB130</f>
        <v>0</v>
      </c>
      <c r="EW2" s="1357"/>
      <c r="EX2" s="1357"/>
      <c r="EY2" s="1357"/>
      <c r="EZ2" s="1357"/>
      <c r="FA2" s="1357"/>
      <c r="FB2" s="1357"/>
      <c r="FC2" s="1357"/>
      <c r="FD2" s="1357"/>
      <c r="FE2" s="1357"/>
      <c r="FF2" s="1357"/>
      <c r="FG2" s="1357"/>
      <c r="FI2" s="1357">
        <f>FO130</f>
        <v>0</v>
      </c>
      <c r="FJ2" s="1357"/>
      <c r="FK2" s="1357"/>
      <c r="FL2" s="1357"/>
      <c r="FM2" s="1357"/>
      <c r="FN2" s="1357"/>
      <c r="FO2" s="1357"/>
      <c r="FP2" s="1357"/>
      <c r="FQ2" s="1357"/>
      <c r="FR2" s="1357"/>
      <c r="FS2" s="1357"/>
      <c r="FT2" s="1357"/>
      <c r="FV2" s="1357">
        <f>GB130</f>
        <v>0</v>
      </c>
      <c r="FW2" s="1357"/>
      <c r="FX2" s="1357"/>
      <c r="FY2" s="1357"/>
      <c r="FZ2" s="1357"/>
      <c r="GA2" s="1357"/>
      <c r="GB2" s="1357"/>
      <c r="GC2" s="1357"/>
      <c r="GD2" s="1357"/>
      <c r="GE2" s="1357"/>
      <c r="GF2" s="1357"/>
      <c r="GG2" s="1357"/>
      <c r="GI2" s="1357">
        <f>GO130</f>
        <v>0</v>
      </c>
      <c r="GJ2" s="1357"/>
      <c r="GK2" s="1357"/>
      <c r="GL2" s="1357"/>
      <c r="GM2" s="1357"/>
      <c r="GN2" s="1357"/>
      <c r="GO2" s="1357"/>
      <c r="GP2" s="1357"/>
      <c r="GQ2" s="1357"/>
      <c r="GR2" s="1357"/>
      <c r="GS2" s="1357"/>
      <c r="GT2" s="1357"/>
      <c r="GV2" s="1357">
        <f>HB130</f>
        <v>0</v>
      </c>
      <c r="GW2" s="1357"/>
      <c r="GX2" s="1357"/>
      <c r="GY2" s="1357"/>
      <c r="GZ2" s="1357"/>
      <c r="HA2" s="1357"/>
      <c r="HB2" s="1357"/>
      <c r="HC2" s="1357"/>
      <c r="HD2" s="1357"/>
      <c r="HE2" s="1357"/>
      <c r="HF2" s="1357"/>
      <c r="HG2" s="1357"/>
      <c r="HI2" s="1357">
        <f>HO130</f>
        <v>0</v>
      </c>
      <c r="HJ2" s="1357"/>
      <c r="HK2" s="1357"/>
      <c r="HL2" s="1357"/>
      <c r="HM2" s="1357"/>
      <c r="HN2" s="1357"/>
      <c r="HO2" s="1357"/>
      <c r="HP2" s="1357"/>
      <c r="HQ2" s="1357"/>
      <c r="HR2" s="1357"/>
      <c r="HS2" s="1357"/>
      <c r="HT2" s="1357"/>
      <c r="HV2" s="1357">
        <f>IB130</f>
        <v>0</v>
      </c>
      <c r="HW2" s="1357"/>
      <c r="HX2" s="1357"/>
      <c r="HY2" s="1357"/>
      <c r="HZ2" s="1357"/>
      <c r="IA2" s="1357"/>
      <c r="IB2" s="1357"/>
      <c r="IC2" s="1357"/>
      <c r="ID2" s="1357"/>
      <c r="IE2" s="1357"/>
      <c r="IF2" s="1357"/>
      <c r="IG2" s="1357"/>
      <c r="II2" s="1357">
        <f>IO130</f>
        <v>0</v>
      </c>
      <c r="IJ2" s="1357"/>
      <c r="IK2" s="1357"/>
      <c r="IL2" s="1357"/>
      <c r="IM2" s="1357"/>
      <c r="IN2" s="1357"/>
      <c r="IO2" s="1357"/>
      <c r="IP2" s="1357"/>
      <c r="IQ2" s="1357"/>
      <c r="IR2" s="1357"/>
      <c r="IS2" s="1357"/>
      <c r="IT2" s="1357"/>
      <c r="IV2" s="1357">
        <f>JB130</f>
        <v>0</v>
      </c>
      <c r="IW2" s="1357"/>
      <c r="IX2" s="1357"/>
      <c r="IY2" s="1357"/>
      <c r="IZ2" s="1357"/>
      <c r="JA2" s="1357"/>
      <c r="JB2" s="1357"/>
      <c r="JC2" s="1357"/>
      <c r="JD2" s="1357"/>
      <c r="JE2" s="1357"/>
      <c r="JF2" s="1357"/>
      <c r="JG2" s="1357"/>
      <c r="JI2" s="1357">
        <f>JO130</f>
        <v>0</v>
      </c>
      <c r="JJ2" s="1357"/>
      <c r="JK2" s="1357"/>
      <c r="JL2" s="1357"/>
      <c r="JM2" s="1357"/>
      <c r="JN2" s="1357"/>
      <c r="JO2" s="1357"/>
      <c r="JP2" s="1357"/>
      <c r="JQ2" s="1357"/>
      <c r="JR2" s="1357"/>
      <c r="JS2" s="1357"/>
      <c r="JT2" s="1357"/>
      <c r="JV2" s="1357">
        <f>KB130</f>
        <v>0</v>
      </c>
      <c r="JW2" s="1357"/>
      <c r="JX2" s="1357"/>
      <c r="JY2" s="1357"/>
      <c r="JZ2" s="1357"/>
      <c r="KA2" s="1357"/>
      <c r="KB2" s="1357"/>
      <c r="KC2" s="1357"/>
      <c r="KD2" s="1357"/>
      <c r="KE2" s="1357"/>
      <c r="KF2" s="1357"/>
      <c r="KG2" s="1357"/>
      <c r="KI2" s="1357">
        <f>KO130</f>
        <v>0</v>
      </c>
      <c r="KJ2" s="1357"/>
      <c r="KK2" s="1357"/>
      <c r="KL2" s="1357"/>
      <c r="KM2" s="1357"/>
      <c r="KN2" s="1357"/>
      <c r="KO2" s="1357"/>
      <c r="KP2" s="1357"/>
      <c r="KQ2" s="1357"/>
      <c r="KR2" s="1357"/>
      <c r="KS2" s="1357"/>
      <c r="KT2" s="1357"/>
      <c r="KV2" s="1357">
        <f>LB130</f>
        <v>0</v>
      </c>
      <c r="KW2" s="1357"/>
      <c r="KX2" s="1357"/>
      <c r="KY2" s="1357"/>
      <c r="KZ2" s="1357"/>
      <c r="LA2" s="1357"/>
      <c r="LB2" s="1357"/>
      <c r="LC2" s="1357"/>
      <c r="LD2" s="1357"/>
      <c r="LE2" s="1357"/>
      <c r="LF2" s="1357"/>
      <c r="LG2" s="1357"/>
      <c r="LI2" s="1357">
        <f>LO130</f>
        <v>0</v>
      </c>
      <c r="LJ2" s="1357"/>
      <c r="LK2" s="1357"/>
      <c r="LL2" s="1357"/>
      <c r="LM2" s="1357"/>
      <c r="LN2" s="1357"/>
      <c r="LO2" s="1357"/>
      <c r="LP2" s="1357"/>
      <c r="LQ2" s="1357"/>
      <c r="LR2" s="1357"/>
      <c r="LS2" s="1357"/>
      <c r="LT2" s="1357"/>
      <c r="LV2" s="1357">
        <f>MB130</f>
        <v>0</v>
      </c>
      <c r="LW2" s="1357"/>
      <c r="LX2" s="1357"/>
      <c r="LY2" s="1357"/>
      <c r="LZ2" s="1357"/>
      <c r="MA2" s="1357"/>
      <c r="MB2" s="1357"/>
      <c r="MC2" s="1357"/>
      <c r="MD2" s="1357"/>
      <c r="ME2" s="1357"/>
      <c r="MF2" s="1357"/>
      <c r="MG2" s="1357"/>
    </row>
    <row r="3" spans="1:345" ht="24.75" customHeight="1" thickBot="1">
      <c r="A3" s="232"/>
      <c r="B3" s="1347" t="str">
        <f>Language!$E$205</f>
        <v>Juiste resultaten</v>
      </c>
      <c r="C3" s="1348"/>
      <c r="D3" s="1348"/>
      <c r="E3" s="1348"/>
      <c r="F3" s="1348"/>
      <c r="G3" s="1349"/>
      <c r="I3" s="1354" t="s">
        <v>560</v>
      </c>
      <c r="J3" s="1355"/>
      <c r="K3" s="1355"/>
      <c r="L3" s="1355"/>
      <c r="M3" s="1355"/>
      <c r="N3" s="1355"/>
      <c r="O3" s="1355"/>
      <c r="P3" s="1355"/>
      <c r="Q3" s="1355"/>
      <c r="R3" s="1355"/>
      <c r="S3" s="1355"/>
      <c r="T3" s="1356"/>
      <c r="V3" s="1354" t="s">
        <v>1643</v>
      </c>
      <c r="W3" s="1355"/>
      <c r="X3" s="1355"/>
      <c r="Y3" s="1355"/>
      <c r="Z3" s="1355"/>
      <c r="AA3" s="1355"/>
      <c r="AB3" s="1355"/>
      <c r="AC3" s="1355"/>
      <c r="AD3" s="1355"/>
      <c r="AE3" s="1355"/>
      <c r="AF3" s="1355"/>
      <c r="AG3" s="1356"/>
      <c r="AI3" s="1354"/>
      <c r="AJ3" s="1355"/>
      <c r="AK3" s="1355"/>
      <c r="AL3" s="1355"/>
      <c r="AM3" s="1355"/>
      <c r="AN3" s="1355"/>
      <c r="AO3" s="1355"/>
      <c r="AP3" s="1355"/>
      <c r="AQ3" s="1355"/>
      <c r="AR3" s="1355"/>
      <c r="AS3" s="1355"/>
      <c r="AT3" s="1356"/>
      <c r="AV3" s="1354"/>
      <c r="AW3" s="1355"/>
      <c r="AX3" s="1355"/>
      <c r="AY3" s="1355"/>
      <c r="AZ3" s="1355"/>
      <c r="BA3" s="1355"/>
      <c r="BB3" s="1355"/>
      <c r="BC3" s="1355"/>
      <c r="BD3" s="1355"/>
      <c r="BE3" s="1355"/>
      <c r="BF3" s="1355"/>
      <c r="BG3" s="1356"/>
      <c r="BI3" s="1354"/>
      <c r="BJ3" s="1355"/>
      <c r="BK3" s="1355"/>
      <c r="BL3" s="1355"/>
      <c r="BM3" s="1355"/>
      <c r="BN3" s="1355"/>
      <c r="BO3" s="1355"/>
      <c r="BP3" s="1355"/>
      <c r="BQ3" s="1355"/>
      <c r="BR3" s="1355"/>
      <c r="BS3" s="1355"/>
      <c r="BT3" s="1356"/>
      <c r="BV3" s="1354"/>
      <c r="BW3" s="1355"/>
      <c r="BX3" s="1355"/>
      <c r="BY3" s="1355"/>
      <c r="BZ3" s="1355"/>
      <c r="CA3" s="1355"/>
      <c r="CB3" s="1355"/>
      <c r="CC3" s="1355"/>
      <c r="CD3" s="1355"/>
      <c r="CE3" s="1355"/>
      <c r="CF3" s="1355"/>
      <c r="CG3" s="1356"/>
      <c r="CI3" s="1354"/>
      <c r="CJ3" s="1355"/>
      <c r="CK3" s="1355"/>
      <c r="CL3" s="1355"/>
      <c r="CM3" s="1355"/>
      <c r="CN3" s="1355"/>
      <c r="CO3" s="1355"/>
      <c r="CP3" s="1355"/>
      <c r="CQ3" s="1355"/>
      <c r="CR3" s="1355"/>
      <c r="CS3" s="1355"/>
      <c r="CT3" s="1356"/>
      <c r="CV3" s="1354"/>
      <c r="CW3" s="1355"/>
      <c r="CX3" s="1355"/>
      <c r="CY3" s="1355"/>
      <c r="CZ3" s="1355"/>
      <c r="DA3" s="1355"/>
      <c r="DB3" s="1355"/>
      <c r="DC3" s="1355"/>
      <c r="DD3" s="1355"/>
      <c r="DE3" s="1355"/>
      <c r="DF3" s="1355"/>
      <c r="DG3" s="1356"/>
      <c r="DI3" s="1354"/>
      <c r="DJ3" s="1355"/>
      <c r="DK3" s="1355"/>
      <c r="DL3" s="1355"/>
      <c r="DM3" s="1355"/>
      <c r="DN3" s="1355"/>
      <c r="DO3" s="1355"/>
      <c r="DP3" s="1355"/>
      <c r="DQ3" s="1355"/>
      <c r="DR3" s="1355"/>
      <c r="DS3" s="1355"/>
      <c r="DT3" s="1356"/>
      <c r="DV3" s="1354"/>
      <c r="DW3" s="1355"/>
      <c r="DX3" s="1355"/>
      <c r="DY3" s="1355"/>
      <c r="DZ3" s="1355"/>
      <c r="EA3" s="1355"/>
      <c r="EB3" s="1355"/>
      <c r="EC3" s="1355"/>
      <c r="ED3" s="1355"/>
      <c r="EE3" s="1355"/>
      <c r="EF3" s="1355"/>
      <c r="EG3" s="1356"/>
      <c r="EI3" s="1354"/>
      <c r="EJ3" s="1355"/>
      <c r="EK3" s="1355"/>
      <c r="EL3" s="1355"/>
      <c r="EM3" s="1355"/>
      <c r="EN3" s="1355"/>
      <c r="EO3" s="1355"/>
      <c r="EP3" s="1355"/>
      <c r="EQ3" s="1355"/>
      <c r="ER3" s="1355"/>
      <c r="ES3" s="1355"/>
      <c r="ET3" s="1356"/>
      <c r="EV3" s="1354"/>
      <c r="EW3" s="1355"/>
      <c r="EX3" s="1355"/>
      <c r="EY3" s="1355"/>
      <c r="EZ3" s="1355"/>
      <c r="FA3" s="1355"/>
      <c r="FB3" s="1355"/>
      <c r="FC3" s="1355"/>
      <c r="FD3" s="1355"/>
      <c r="FE3" s="1355"/>
      <c r="FF3" s="1355"/>
      <c r="FG3" s="1356"/>
      <c r="FI3" s="1354"/>
      <c r="FJ3" s="1355"/>
      <c r="FK3" s="1355"/>
      <c r="FL3" s="1355"/>
      <c r="FM3" s="1355"/>
      <c r="FN3" s="1355"/>
      <c r="FO3" s="1355"/>
      <c r="FP3" s="1355"/>
      <c r="FQ3" s="1355"/>
      <c r="FR3" s="1355"/>
      <c r="FS3" s="1355"/>
      <c r="FT3" s="1356"/>
      <c r="FV3" s="1354"/>
      <c r="FW3" s="1355"/>
      <c r="FX3" s="1355"/>
      <c r="FY3" s="1355"/>
      <c r="FZ3" s="1355"/>
      <c r="GA3" s="1355"/>
      <c r="GB3" s="1355"/>
      <c r="GC3" s="1355"/>
      <c r="GD3" s="1355"/>
      <c r="GE3" s="1355"/>
      <c r="GF3" s="1355"/>
      <c r="GG3" s="1356"/>
      <c r="GI3" s="1354"/>
      <c r="GJ3" s="1355"/>
      <c r="GK3" s="1355"/>
      <c r="GL3" s="1355"/>
      <c r="GM3" s="1355"/>
      <c r="GN3" s="1355"/>
      <c r="GO3" s="1355"/>
      <c r="GP3" s="1355"/>
      <c r="GQ3" s="1355"/>
      <c r="GR3" s="1355"/>
      <c r="GS3" s="1355"/>
      <c r="GT3" s="1356"/>
      <c r="GV3" s="1354"/>
      <c r="GW3" s="1355"/>
      <c r="GX3" s="1355"/>
      <c r="GY3" s="1355"/>
      <c r="GZ3" s="1355"/>
      <c r="HA3" s="1355"/>
      <c r="HB3" s="1355"/>
      <c r="HC3" s="1355"/>
      <c r="HD3" s="1355"/>
      <c r="HE3" s="1355"/>
      <c r="HF3" s="1355"/>
      <c r="HG3" s="1356"/>
      <c r="HI3" s="1354"/>
      <c r="HJ3" s="1355"/>
      <c r="HK3" s="1355"/>
      <c r="HL3" s="1355"/>
      <c r="HM3" s="1355"/>
      <c r="HN3" s="1355"/>
      <c r="HO3" s="1355"/>
      <c r="HP3" s="1355"/>
      <c r="HQ3" s="1355"/>
      <c r="HR3" s="1355"/>
      <c r="HS3" s="1355"/>
      <c r="HT3" s="1356"/>
      <c r="HV3" s="1354"/>
      <c r="HW3" s="1355"/>
      <c r="HX3" s="1355"/>
      <c r="HY3" s="1355"/>
      <c r="HZ3" s="1355"/>
      <c r="IA3" s="1355"/>
      <c r="IB3" s="1355"/>
      <c r="IC3" s="1355"/>
      <c r="ID3" s="1355"/>
      <c r="IE3" s="1355"/>
      <c r="IF3" s="1355"/>
      <c r="IG3" s="1356"/>
      <c r="II3" s="1354"/>
      <c r="IJ3" s="1355"/>
      <c r="IK3" s="1355"/>
      <c r="IL3" s="1355"/>
      <c r="IM3" s="1355"/>
      <c r="IN3" s="1355"/>
      <c r="IO3" s="1355"/>
      <c r="IP3" s="1355"/>
      <c r="IQ3" s="1355"/>
      <c r="IR3" s="1355"/>
      <c r="IS3" s="1355"/>
      <c r="IT3" s="1356"/>
      <c r="IV3" s="1354"/>
      <c r="IW3" s="1355"/>
      <c r="IX3" s="1355"/>
      <c r="IY3" s="1355"/>
      <c r="IZ3" s="1355"/>
      <c r="JA3" s="1355"/>
      <c r="JB3" s="1355"/>
      <c r="JC3" s="1355"/>
      <c r="JD3" s="1355"/>
      <c r="JE3" s="1355"/>
      <c r="JF3" s="1355"/>
      <c r="JG3" s="1356"/>
      <c r="JI3" s="1354"/>
      <c r="JJ3" s="1355"/>
      <c r="JK3" s="1355"/>
      <c r="JL3" s="1355"/>
      <c r="JM3" s="1355"/>
      <c r="JN3" s="1355"/>
      <c r="JO3" s="1355"/>
      <c r="JP3" s="1355"/>
      <c r="JQ3" s="1355"/>
      <c r="JR3" s="1355"/>
      <c r="JS3" s="1355"/>
      <c r="JT3" s="1356"/>
      <c r="JV3" s="1354"/>
      <c r="JW3" s="1355"/>
      <c r="JX3" s="1355"/>
      <c r="JY3" s="1355"/>
      <c r="JZ3" s="1355"/>
      <c r="KA3" s="1355"/>
      <c r="KB3" s="1355"/>
      <c r="KC3" s="1355"/>
      <c r="KD3" s="1355"/>
      <c r="KE3" s="1355"/>
      <c r="KF3" s="1355"/>
      <c r="KG3" s="1356"/>
      <c r="KI3" s="1354"/>
      <c r="KJ3" s="1355"/>
      <c r="KK3" s="1355"/>
      <c r="KL3" s="1355"/>
      <c r="KM3" s="1355"/>
      <c r="KN3" s="1355"/>
      <c r="KO3" s="1355"/>
      <c r="KP3" s="1355"/>
      <c r="KQ3" s="1355"/>
      <c r="KR3" s="1355"/>
      <c r="KS3" s="1355"/>
      <c r="KT3" s="1356"/>
      <c r="KV3" s="1354"/>
      <c r="KW3" s="1355"/>
      <c r="KX3" s="1355"/>
      <c r="KY3" s="1355"/>
      <c r="KZ3" s="1355"/>
      <c r="LA3" s="1355"/>
      <c r="LB3" s="1355"/>
      <c r="LC3" s="1355"/>
      <c r="LD3" s="1355"/>
      <c r="LE3" s="1355"/>
      <c r="LF3" s="1355"/>
      <c r="LG3" s="1356"/>
      <c r="LI3" s="1354"/>
      <c r="LJ3" s="1355"/>
      <c r="LK3" s="1355"/>
      <c r="LL3" s="1355"/>
      <c r="LM3" s="1355"/>
      <c r="LN3" s="1355"/>
      <c r="LO3" s="1355"/>
      <c r="LP3" s="1355"/>
      <c r="LQ3" s="1355"/>
      <c r="LR3" s="1355"/>
      <c r="LS3" s="1355"/>
      <c r="LT3" s="1356"/>
      <c r="LV3" s="1354"/>
      <c r="LW3" s="1355"/>
      <c r="LX3" s="1355"/>
      <c r="LY3" s="1355"/>
      <c r="LZ3" s="1355"/>
      <c r="MA3" s="1355"/>
      <c r="MB3" s="1355"/>
      <c r="MC3" s="1355"/>
      <c r="MD3" s="1355"/>
      <c r="ME3" s="1355"/>
      <c r="MF3" s="1355"/>
      <c r="MG3" s="1356"/>
    </row>
    <row r="4" spans="1:345" ht="40.5" customHeight="1" thickTop="1">
      <c r="A4" s="232"/>
      <c r="B4" s="256"/>
      <c r="C4" s="257"/>
      <c r="D4" s="257"/>
      <c r="E4" s="258"/>
      <c r="F4" s="1350" t="str">
        <f>Language!$E$209</f>
        <v>Result.</v>
      </c>
      <c r="G4" s="1351"/>
      <c r="I4" s="265"/>
      <c r="J4" s="257"/>
      <c r="K4" s="257"/>
      <c r="L4" s="258"/>
      <c r="M4" s="1336" t="str">
        <f>Language!$E$209</f>
        <v>Result.</v>
      </c>
      <c r="N4" s="1336"/>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36" t="str">
        <f>Language!$E$209</f>
        <v>Result.</v>
      </c>
      <c r="AA4" s="1336"/>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36" t="str">
        <f>Language!$E$209</f>
        <v>Result.</v>
      </c>
      <c r="AN4" s="1336"/>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36" t="str">
        <f>Language!$E$209</f>
        <v>Result.</v>
      </c>
      <c r="BA4" s="1336"/>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36" t="str">
        <f>Language!$E$209</f>
        <v>Result.</v>
      </c>
      <c r="BN4" s="1336"/>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36" t="str">
        <f>Language!$E$209</f>
        <v>Result.</v>
      </c>
      <c r="CA4" s="1336"/>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36" t="str">
        <f>Language!$E$209</f>
        <v>Result.</v>
      </c>
      <c r="CN4" s="1336"/>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36" t="str">
        <f>Language!$E$209</f>
        <v>Result.</v>
      </c>
      <c r="DA4" s="1336"/>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36" t="str">
        <f>Language!$E$209</f>
        <v>Result.</v>
      </c>
      <c r="DN4" s="1336"/>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36" t="str">
        <f>Language!$E$209</f>
        <v>Result.</v>
      </c>
      <c r="EA4" s="1336"/>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36" t="str">
        <f>Language!$E$209</f>
        <v>Result.</v>
      </c>
      <c r="EN4" s="1336"/>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36" t="str">
        <f>Language!$E$209</f>
        <v>Result.</v>
      </c>
      <c r="FA4" s="1336"/>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36" t="str">
        <f>Language!$E$209</f>
        <v>Result.</v>
      </c>
      <c r="FN4" s="1336"/>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36" t="str">
        <f>Language!$E$209</f>
        <v>Result.</v>
      </c>
      <c r="GA4" s="1336"/>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36" t="str">
        <f>Language!$E$209</f>
        <v>Result.</v>
      </c>
      <c r="GN4" s="1336"/>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36" t="str">
        <f>Language!$E$209</f>
        <v>Result.</v>
      </c>
      <c r="HA4" s="1336"/>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36" t="str">
        <f>Language!$E$209</f>
        <v>Result.</v>
      </c>
      <c r="HN4" s="1336"/>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36" t="str">
        <f>Language!$E$209</f>
        <v>Result.</v>
      </c>
      <c r="IA4" s="1336"/>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36" t="str">
        <f>Language!$E$209</f>
        <v>Result.</v>
      </c>
      <c r="IN4" s="1336"/>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36" t="str">
        <f>Language!$E$209</f>
        <v>Result.</v>
      </c>
      <c r="JA4" s="1336"/>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36" t="str">
        <f>Language!$E$209</f>
        <v>Result.</v>
      </c>
      <c r="JN4" s="1336"/>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36" t="str">
        <f>Language!$E$209</f>
        <v>Result.</v>
      </c>
      <c r="KA4" s="1336"/>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36" t="str">
        <f>Language!$E$209</f>
        <v>Result.</v>
      </c>
      <c r="KN4" s="1336"/>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36" t="str">
        <f>Language!$E$209</f>
        <v>Result.</v>
      </c>
      <c r="LA4" s="1336"/>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36" t="str">
        <f>Language!$E$209</f>
        <v>Result.</v>
      </c>
      <c r="LN4" s="1336"/>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36" t="str">
        <f>Language!$E$209</f>
        <v>Result.</v>
      </c>
      <c r="MA4" s="1336"/>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68" si="0">$B5</f>
        <v>Groep A</v>
      </c>
      <c r="J5" s="249"/>
      <c r="K5" s="249"/>
      <c r="L5" s="250"/>
      <c r="M5" s="279"/>
      <c r="N5" s="280"/>
      <c r="O5" s="251"/>
      <c r="P5" s="263"/>
      <c r="Q5" s="263"/>
      <c r="R5" s="250"/>
      <c r="S5" s="250"/>
      <c r="T5" s="264"/>
      <c r="V5" s="247" t="str">
        <f t="shared" ref="V5:V68" si="1">$B5</f>
        <v>Groep A</v>
      </c>
      <c r="W5" s="249"/>
      <c r="X5" s="249"/>
      <c r="Y5" s="250"/>
      <c r="Z5" s="279"/>
      <c r="AA5" s="280"/>
      <c r="AB5" s="251"/>
      <c r="AC5" s="263"/>
      <c r="AD5" s="263"/>
      <c r="AE5" s="250"/>
      <c r="AF5" s="250"/>
      <c r="AG5" s="264"/>
      <c r="AI5" s="247" t="str">
        <f t="shared" ref="AI5:AI68" si="2">$B5</f>
        <v>Groep A</v>
      </c>
      <c r="AJ5" s="249"/>
      <c r="AK5" s="249"/>
      <c r="AL5" s="250"/>
      <c r="AM5" s="279"/>
      <c r="AN5" s="280"/>
      <c r="AO5" s="251"/>
      <c r="AP5" s="263"/>
      <c r="AQ5" s="263"/>
      <c r="AR5" s="250"/>
      <c r="AS5" s="250"/>
      <c r="AT5" s="264"/>
      <c r="AV5" s="247" t="str">
        <f t="shared" ref="AV5:AV68" si="3">$B5</f>
        <v>Groep A</v>
      </c>
      <c r="AW5" s="249"/>
      <c r="AX5" s="249"/>
      <c r="AY5" s="250"/>
      <c r="AZ5" s="279"/>
      <c r="BA5" s="280"/>
      <c r="BB5" s="251"/>
      <c r="BC5" s="263"/>
      <c r="BD5" s="263"/>
      <c r="BE5" s="250"/>
      <c r="BF5" s="250"/>
      <c r="BG5" s="264"/>
      <c r="BI5" s="247" t="str">
        <f t="shared" ref="BI5:BI68" si="4">$B5</f>
        <v>Groep A</v>
      </c>
      <c r="BJ5" s="249"/>
      <c r="BK5" s="249"/>
      <c r="BL5" s="250"/>
      <c r="BM5" s="279"/>
      <c r="BN5" s="280"/>
      <c r="BO5" s="251"/>
      <c r="BP5" s="263"/>
      <c r="BQ5" s="263"/>
      <c r="BR5" s="250"/>
      <c r="BS5" s="250"/>
      <c r="BT5" s="264"/>
      <c r="BV5" s="247" t="str">
        <f t="shared" ref="BV5:BV68" si="5">$B5</f>
        <v>Groep A</v>
      </c>
      <c r="BW5" s="249"/>
      <c r="BX5" s="249"/>
      <c r="BY5" s="250"/>
      <c r="BZ5" s="279"/>
      <c r="CA5" s="280"/>
      <c r="CB5" s="251"/>
      <c r="CC5" s="263"/>
      <c r="CD5" s="263"/>
      <c r="CE5" s="250"/>
      <c r="CF5" s="250"/>
      <c r="CG5" s="264"/>
      <c r="CI5" s="247" t="str">
        <f t="shared" ref="CI5:CI68" si="6">$B5</f>
        <v>Groep A</v>
      </c>
      <c r="CJ5" s="249"/>
      <c r="CK5" s="249"/>
      <c r="CL5" s="250"/>
      <c r="CM5" s="279"/>
      <c r="CN5" s="280"/>
      <c r="CO5" s="251"/>
      <c r="CP5" s="263"/>
      <c r="CQ5" s="263"/>
      <c r="CR5" s="250"/>
      <c r="CS5" s="250"/>
      <c r="CT5" s="264"/>
      <c r="CV5" s="247" t="str">
        <f t="shared" ref="CV5:CV68" si="7">$B5</f>
        <v>Groep A</v>
      </c>
      <c r="CW5" s="249"/>
      <c r="CX5" s="249"/>
      <c r="CY5" s="250"/>
      <c r="CZ5" s="279"/>
      <c r="DA5" s="280"/>
      <c r="DB5" s="251"/>
      <c r="DC5" s="263"/>
      <c r="DD5" s="263"/>
      <c r="DE5" s="250"/>
      <c r="DF5" s="250"/>
      <c r="DG5" s="264"/>
      <c r="DI5" s="247" t="str">
        <f t="shared" ref="DI5:DI68" si="8">$B5</f>
        <v>Groep A</v>
      </c>
      <c r="DJ5" s="249"/>
      <c r="DK5" s="249"/>
      <c r="DL5" s="250"/>
      <c r="DM5" s="279"/>
      <c r="DN5" s="280"/>
      <c r="DO5" s="251"/>
      <c r="DP5" s="263"/>
      <c r="DQ5" s="263"/>
      <c r="DR5" s="250"/>
      <c r="DS5" s="250"/>
      <c r="DT5" s="264"/>
      <c r="DV5" s="247" t="str">
        <f t="shared" ref="DV5:DV68" si="9">$B5</f>
        <v>Groep A</v>
      </c>
      <c r="DW5" s="249"/>
      <c r="DX5" s="249"/>
      <c r="DY5" s="250"/>
      <c r="DZ5" s="279"/>
      <c r="EA5" s="280"/>
      <c r="EB5" s="251"/>
      <c r="EC5" s="263"/>
      <c r="ED5" s="263"/>
      <c r="EE5" s="250"/>
      <c r="EF5" s="250"/>
      <c r="EG5" s="264"/>
      <c r="EI5" s="247" t="str">
        <f t="shared" ref="EI5:EI68" si="10">$B5</f>
        <v>Groep A</v>
      </c>
      <c r="EJ5" s="249"/>
      <c r="EK5" s="249"/>
      <c r="EL5" s="250"/>
      <c r="EM5" s="279"/>
      <c r="EN5" s="280"/>
      <c r="EO5" s="251"/>
      <c r="EP5" s="263"/>
      <c r="EQ5" s="263"/>
      <c r="ER5" s="250"/>
      <c r="ES5" s="250"/>
      <c r="ET5" s="264"/>
      <c r="EV5" s="247" t="str">
        <f t="shared" ref="EV5:EV68" si="11">$B5</f>
        <v>Groep A</v>
      </c>
      <c r="EW5" s="249"/>
      <c r="EX5" s="249"/>
      <c r="EY5" s="250"/>
      <c r="EZ5" s="279"/>
      <c r="FA5" s="280"/>
      <c r="FB5" s="251"/>
      <c r="FC5" s="263"/>
      <c r="FD5" s="263"/>
      <c r="FE5" s="250"/>
      <c r="FF5" s="250"/>
      <c r="FG5" s="264"/>
      <c r="FI5" s="247" t="str">
        <f t="shared" ref="FI5:FI68" si="12">$B5</f>
        <v>Groep A</v>
      </c>
      <c r="FJ5" s="249"/>
      <c r="FK5" s="249"/>
      <c r="FL5" s="250"/>
      <c r="FM5" s="279"/>
      <c r="FN5" s="280"/>
      <c r="FO5" s="251"/>
      <c r="FP5" s="263"/>
      <c r="FQ5" s="263"/>
      <c r="FR5" s="250"/>
      <c r="FS5" s="250"/>
      <c r="FT5" s="264"/>
      <c r="FV5" s="247" t="str">
        <f t="shared" ref="FV5:FV68" si="13">$B5</f>
        <v>Groep A</v>
      </c>
      <c r="FW5" s="249"/>
      <c r="FX5" s="249"/>
      <c r="FY5" s="250"/>
      <c r="FZ5" s="279"/>
      <c r="GA5" s="280"/>
      <c r="GB5" s="251"/>
      <c r="GC5" s="263"/>
      <c r="GD5" s="263"/>
      <c r="GE5" s="250"/>
      <c r="GF5" s="250"/>
      <c r="GG5" s="264"/>
      <c r="GI5" s="247" t="str">
        <f t="shared" ref="GI5:GI68" si="14">$B5</f>
        <v>Groep A</v>
      </c>
      <c r="GJ5" s="249"/>
      <c r="GK5" s="249"/>
      <c r="GL5" s="250"/>
      <c r="GM5" s="279"/>
      <c r="GN5" s="280"/>
      <c r="GO5" s="251"/>
      <c r="GP5" s="263"/>
      <c r="GQ5" s="263"/>
      <c r="GR5" s="250"/>
      <c r="GS5" s="250"/>
      <c r="GT5" s="264"/>
      <c r="GV5" s="247" t="str">
        <f t="shared" ref="GV5:GV68" si="15">$B5</f>
        <v>Groep A</v>
      </c>
      <c r="GW5" s="249"/>
      <c r="GX5" s="249"/>
      <c r="GY5" s="250"/>
      <c r="GZ5" s="279"/>
      <c r="HA5" s="280"/>
      <c r="HB5" s="251"/>
      <c r="HC5" s="263"/>
      <c r="HD5" s="263"/>
      <c r="HE5" s="250"/>
      <c r="HF5" s="250"/>
      <c r="HG5" s="264"/>
      <c r="HI5" s="247" t="str">
        <f t="shared" ref="HI5:HI68" si="16">$B5</f>
        <v>Groep A</v>
      </c>
      <c r="HJ5" s="249"/>
      <c r="HK5" s="249"/>
      <c r="HL5" s="250"/>
      <c r="HM5" s="279"/>
      <c r="HN5" s="280"/>
      <c r="HO5" s="251"/>
      <c r="HP5" s="263"/>
      <c r="HQ5" s="263"/>
      <c r="HR5" s="250"/>
      <c r="HS5" s="250"/>
      <c r="HT5" s="264"/>
      <c r="HV5" s="247" t="str">
        <f t="shared" ref="HV5:HV68" si="17">$B5</f>
        <v>Groep A</v>
      </c>
      <c r="HW5" s="249"/>
      <c r="HX5" s="249"/>
      <c r="HY5" s="250"/>
      <c r="HZ5" s="279"/>
      <c r="IA5" s="280"/>
      <c r="IB5" s="251"/>
      <c r="IC5" s="263"/>
      <c r="ID5" s="263"/>
      <c r="IE5" s="250"/>
      <c r="IF5" s="250"/>
      <c r="IG5" s="264"/>
      <c r="II5" s="247" t="str">
        <f t="shared" ref="II5:II68" si="18">$B5</f>
        <v>Groep A</v>
      </c>
      <c r="IJ5" s="249"/>
      <c r="IK5" s="249"/>
      <c r="IL5" s="250"/>
      <c r="IM5" s="279"/>
      <c r="IN5" s="280"/>
      <c r="IO5" s="251"/>
      <c r="IP5" s="263"/>
      <c r="IQ5" s="263"/>
      <c r="IR5" s="250"/>
      <c r="IS5" s="250"/>
      <c r="IT5" s="264"/>
      <c r="IV5" s="247" t="str">
        <f t="shared" ref="IV5:IV68" si="19">$B5</f>
        <v>Groep A</v>
      </c>
      <c r="IW5" s="249"/>
      <c r="IX5" s="249"/>
      <c r="IY5" s="250"/>
      <c r="IZ5" s="279"/>
      <c r="JA5" s="280"/>
      <c r="JB5" s="251"/>
      <c r="JC5" s="263"/>
      <c r="JD5" s="263"/>
      <c r="JE5" s="250"/>
      <c r="JF5" s="250"/>
      <c r="JG5" s="264"/>
      <c r="JI5" s="247" t="str">
        <f t="shared" ref="JI5:JI68" si="20">$B5</f>
        <v>Groep A</v>
      </c>
      <c r="JJ5" s="249"/>
      <c r="JK5" s="249"/>
      <c r="JL5" s="250"/>
      <c r="JM5" s="279"/>
      <c r="JN5" s="280"/>
      <c r="JO5" s="251"/>
      <c r="JP5" s="263"/>
      <c r="JQ5" s="263"/>
      <c r="JR5" s="250"/>
      <c r="JS5" s="250"/>
      <c r="JT5" s="264"/>
      <c r="JV5" s="247" t="str">
        <f t="shared" ref="JV5:JV68" si="21">$B5</f>
        <v>Groep A</v>
      </c>
      <c r="JW5" s="249"/>
      <c r="JX5" s="249"/>
      <c r="JY5" s="250"/>
      <c r="JZ5" s="279"/>
      <c r="KA5" s="280"/>
      <c r="KB5" s="251"/>
      <c r="KC5" s="263"/>
      <c r="KD5" s="263"/>
      <c r="KE5" s="250"/>
      <c r="KF5" s="250"/>
      <c r="KG5" s="264"/>
      <c r="KI5" s="247" t="str">
        <f t="shared" ref="KI5:KI68" si="22">$B5</f>
        <v>Groep A</v>
      </c>
      <c r="KJ5" s="249"/>
      <c r="KK5" s="249"/>
      <c r="KL5" s="250"/>
      <c r="KM5" s="279"/>
      <c r="KN5" s="280"/>
      <c r="KO5" s="251"/>
      <c r="KP5" s="263"/>
      <c r="KQ5" s="263"/>
      <c r="KR5" s="250"/>
      <c r="KS5" s="250"/>
      <c r="KT5" s="264"/>
      <c r="KV5" s="247" t="str">
        <f t="shared" ref="KV5:KV68" si="23">$B5</f>
        <v>Groep A</v>
      </c>
      <c r="KW5" s="249"/>
      <c r="KX5" s="249"/>
      <c r="KY5" s="250"/>
      <c r="KZ5" s="279"/>
      <c r="LA5" s="280"/>
      <c r="LB5" s="251"/>
      <c r="LC5" s="263"/>
      <c r="LD5" s="263"/>
      <c r="LE5" s="250"/>
      <c r="LF5" s="250"/>
      <c r="LG5" s="264"/>
      <c r="LI5" s="247" t="str">
        <f t="shared" ref="LI5:LI68" si="24">$B5</f>
        <v>Groep A</v>
      </c>
      <c r="LJ5" s="249"/>
      <c r="LK5" s="249"/>
      <c r="LL5" s="250"/>
      <c r="LM5" s="279"/>
      <c r="LN5" s="280"/>
      <c r="LO5" s="251"/>
      <c r="LP5" s="263"/>
      <c r="LQ5" s="263"/>
      <c r="LR5" s="250"/>
      <c r="LS5" s="250"/>
      <c r="LT5" s="264"/>
      <c r="LV5" s="247" t="str">
        <f t="shared" ref="LV5:LV68" si="25">$B5</f>
        <v>Groep A</v>
      </c>
      <c r="LW5" s="249"/>
      <c r="LX5" s="249"/>
      <c r="LY5" s="250"/>
      <c r="LZ5" s="279"/>
      <c r="MA5" s="280"/>
      <c r="MB5" s="251"/>
      <c r="MC5" s="263"/>
      <c r="MD5" s="263"/>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si="0"/>
        <v>10</v>
      </c>
      <c r="J34" s="239" t="str">
        <f t="shared" ref="J34:J39" si="468">$C34</f>
        <v>Duitsland</v>
      </c>
      <c r="K34" s="240">
        <f t="shared" si="26"/>
        <v>82</v>
      </c>
      <c r="L34" s="239" t="str">
        <f t="shared" ref="L34:L39" si="469">$E34</f>
        <v>Curacao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Duitsland</v>
      </c>
      <c r="X34" s="240">
        <f t="shared" si="29"/>
        <v>82</v>
      </c>
      <c r="Y34" s="239" t="str">
        <f t="shared" ref="Y34:Y39" si="473">$E34</f>
        <v>Curacao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Duitsland</v>
      </c>
      <c r="AK34" s="240">
        <f t="shared" si="32"/>
        <v>82</v>
      </c>
      <c r="AL34" s="239" t="str">
        <f t="shared" ref="AL34:AL39" si="477">$E34</f>
        <v>Curacao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Duitsland</v>
      </c>
      <c r="AX34" s="240">
        <f t="shared" si="35"/>
        <v>82</v>
      </c>
      <c r="AY34" s="239" t="str">
        <f t="shared" ref="AY34:AY39" si="481">$E34</f>
        <v>Curacao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Duitsland</v>
      </c>
      <c r="BK34" s="240">
        <f t="shared" si="38"/>
        <v>82</v>
      </c>
      <c r="BL34" s="239" t="str">
        <f t="shared" ref="BL34:BL39" si="485">$E34</f>
        <v>Curacao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Duitsland</v>
      </c>
      <c r="BX34" s="240">
        <f t="shared" si="41"/>
        <v>82</v>
      </c>
      <c r="BY34" s="239" t="str">
        <f t="shared" ref="BY34:BY39" si="489">$E34</f>
        <v>Curacao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Duitsland</v>
      </c>
      <c r="CK34" s="240">
        <f t="shared" si="44"/>
        <v>82</v>
      </c>
      <c r="CL34" s="239" t="str">
        <f t="shared" ref="CL34:CL39" si="493">$E34</f>
        <v>Curacao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Duitsland</v>
      </c>
      <c r="CX34" s="240">
        <f t="shared" si="47"/>
        <v>82</v>
      </c>
      <c r="CY34" s="239" t="str">
        <f t="shared" ref="CY34:CY39" si="497">$E34</f>
        <v>Curacao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Duitsland</v>
      </c>
      <c r="DK34" s="240">
        <f t="shared" si="50"/>
        <v>82</v>
      </c>
      <c r="DL34" s="239" t="str">
        <f t="shared" ref="DL34:DL39" si="501">$E34</f>
        <v>Curacao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Duitsland</v>
      </c>
      <c r="DX34" s="240">
        <f t="shared" si="53"/>
        <v>82</v>
      </c>
      <c r="DY34" s="239" t="str">
        <f t="shared" ref="DY34:DY39" si="505">$E34</f>
        <v>Curacao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Duitsland</v>
      </c>
      <c r="EK34" s="240">
        <f t="shared" si="56"/>
        <v>82</v>
      </c>
      <c r="EL34" s="239" t="str">
        <f t="shared" ref="EL34:EL39" si="509">$E34</f>
        <v>Curacao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Duitsland</v>
      </c>
      <c r="EX34" s="240">
        <f t="shared" si="59"/>
        <v>82</v>
      </c>
      <c r="EY34" s="239" t="str">
        <f t="shared" ref="EY34:EY39" si="513">$E34</f>
        <v>Curacao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Duitsland</v>
      </c>
      <c r="FK34" s="240">
        <f t="shared" si="62"/>
        <v>82</v>
      </c>
      <c r="FL34" s="239" t="str">
        <f t="shared" ref="FL34:FL39" si="517">$E34</f>
        <v>Curacao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Duitsland</v>
      </c>
      <c r="FX34" s="240">
        <f t="shared" si="65"/>
        <v>82</v>
      </c>
      <c r="FY34" s="239" t="str">
        <f t="shared" ref="FY34:FY39" si="521">$E34</f>
        <v>Curacao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Duitsland</v>
      </c>
      <c r="GK34" s="240">
        <f t="shared" si="68"/>
        <v>82</v>
      </c>
      <c r="GL34" s="239" t="str">
        <f t="shared" ref="GL34:GL39" si="525">$E34</f>
        <v>Curacao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Duitsland</v>
      </c>
      <c r="GX34" s="240">
        <f t="shared" si="71"/>
        <v>82</v>
      </c>
      <c r="GY34" s="239" t="str">
        <f t="shared" ref="GY34:GY39" si="529">$E34</f>
        <v>Curacao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Duitsland</v>
      </c>
      <c r="HK34" s="240">
        <f t="shared" si="74"/>
        <v>82</v>
      </c>
      <c r="HL34" s="239" t="str">
        <f t="shared" ref="HL34:HL39" si="533">$E34</f>
        <v>Curacao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Duitsland</v>
      </c>
      <c r="HX34" s="240">
        <f t="shared" si="77"/>
        <v>82</v>
      </c>
      <c r="HY34" s="239" t="str">
        <f t="shared" ref="HY34:HY39" si="537">$E34</f>
        <v>Curacao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Duitsland</v>
      </c>
      <c r="IK34" s="240">
        <f t="shared" si="80"/>
        <v>82</v>
      </c>
      <c r="IL34" s="239" t="str">
        <f t="shared" ref="IL34:IL39" si="541">$E34</f>
        <v>Curacao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Duitsland</v>
      </c>
      <c r="IX34" s="240">
        <f t="shared" si="83"/>
        <v>82</v>
      </c>
      <c r="IY34" s="239" t="str">
        <f t="shared" ref="IY34:IY39" si="545">$E34</f>
        <v>Curacao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Duitsland</v>
      </c>
      <c r="JK34" s="240">
        <f t="shared" si="86"/>
        <v>82</v>
      </c>
      <c r="JL34" s="239" t="str">
        <f t="shared" ref="JL34:JL39" si="549">$E34</f>
        <v>Curacao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Duitsland</v>
      </c>
      <c r="JX34" s="240">
        <f t="shared" si="89"/>
        <v>82</v>
      </c>
      <c r="JY34" s="239" t="str">
        <f t="shared" ref="JY34:JY39" si="553">$E34</f>
        <v>Curacao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Duitsland</v>
      </c>
      <c r="KK34" s="240">
        <f t="shared" si="92"/>
        <v>82</v>
      </c>
      <c r="KL34" s="239" t="str">
        <f t="shared" ref="KL34:KL39" si="557">$E34</f>
        <v>Curacao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Duitsland</v>
      </c>
      <c r="KX34" s="240">
        <f t="shared" si="95"/>
        <v>82</v>
      </c>
      <c r="KY34" s="239" t="str">
        <f t="shared" ref="KY34:KY39" si="561">$E34</f>
        <v>Curacao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Duitsland</v>
      </c>
      <c r="LK34" s="240">
        <f t="shared" si="98"/>
        <v>82</v>
      </c>
      <c r="LL34" s="239" t="str">
        <f t="shared" ref="LL34:LL39" si="565">$E34</f>
        <v>Curacao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Duitsland</v>
      </c>
      <c r="LX34" s="240">
        <f t="shared" si="101"/>
        <v>82</v>
      </c>
      <c r="LY34" s="239" t="str">
        <f t="shared" ref="LY34:LY39" si="569">$E34</f>
        <v>Curacao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0"/>
        <v>34</v>
      </c>
      <c r="J35" s="239" t="str">
        <f t="shared" si="468"/>
        <v>Ivoorkust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Ivoorkust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Ivoorkust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Ivoorkust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Ivoorkust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Ivoorkust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Ivoorkust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Ivoorkust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Ivoorkust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Ivoorkust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Ivoorkust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Ivoorkust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Ivoorkust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Ivoorkust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Ivoorkust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Ivoorkust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Ivoorkust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Ivoorkust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Ivoorkust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Ivoorkust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Ivoorkust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Ivoorkust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Ivoorkust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Ivoorkust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Ivoorkust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Ivoorkust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0"/>
        <v>10</v>
      </c>
      <c r="J36" s="239" t="str">
        <f t="shared" si="468"/>
        <v>Duitsland</v>
      </c>
      <c r="K36" s="240">
        <f t="shared" si="26"/>
        <v>34</v>
      </c>
      <c r="L36" s="239" t="str">
        <f t="shared" si="469"/>
        <v>Ivoorkust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Duitsland</v>
      </c>
      <c r="X36" s="240">
        <f t="shared" si="29"/>
        <v>34</v>
      </c>
      <c r="Y36" s="239" t="str">
        <f t="shared" si="473"/>
        <v>Ivoorkust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Duitsland</v>
      </c>
      <c r="AK36" s="240">
        <f t="shared" si="32"/>
        <v>34</v>
      </c>
      <c r="AL36" s="239" t="str">
        <f t="shared" si="477"/>
        <v>Ivoorkust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Duitsland</v>
      </c>
      <c r="AX36" s="240">
        <f t="shared" si="35"/>
        <v>34</v>
      </c>
      <c r="AY36" s="239" t="str">
        <f t="shared" si="481"/>
        <v>Ivoorkust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Duitsland</v>
      </c>
      <c r="BK36" s="240">
        <f t="shared" si="38"/>
        <v>34</v>
      </c>
      <c r="BL36" s="239" t="str">
        <f t="shared" si="485"/>
        <v>Ivoorkust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Duitsland</v>
      </c>
      <c r="BX36" s="240">
        <f t="shared" si="41"/>
        <v>34</v>
      </c>
      <c r="BY36" s="239" t="str">
        <f t="shared" si="489"/>
        <v>Ivoorkust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Duitsland</v>
      </c>
      <c r="CK36" s="240">
        <f t="shared" si="44"/>
        <v>34</v>
      </c>
      <c r="CL36" s="239" t="str">
        <f t="shared" si="493"/>
        <v>Ivoorkust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Duitsland</v>
      </c>
      <c r="CX36" s="240">
        <f t="shared" si="47"/>
        <v>34</v>
      </c>
      <c r="CY36" s="239" t="str">
        <f t="shared" si="497"/>
        <v>Ivoorkust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Duitsland</v>
      </c>
      <c r="DK36" s="240">
        <f t="shared" si="50"/>
        <v>34</v>
      </c>
      <c r="DL36" s="239" t="str">
        <f t="shared" si="501"/>
        <v>Ivoorkust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Duitsland</v>
      </c>
      <c r="DX36" s="240">
        <f t="shared" si="53"/>
        <v>34</v>
      </c>
      <c r="DY36" s="239" t="str">
        <f t="shared" si="505"/>
        <v>Ivoorkust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Duitsland</v>
      </c>
      <c r="EK36" s="240">
        <f t="shared" si="56"/>
        <v>34</v>
      </c>
      <c r="EL36" s="239" t="str">
        <f t="shared" si="509"/>
        <v>Ivoorkust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Duitsland</v>
      </c>
      <c r="EX36" s="240">
        <f t="shared" si="59"/>
        <v>34</v>
      </c>
      <c r="EY36" s="239" t="str">
        <f t="shared" si="513"/>
        <v>Ivoorkust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Duitsland</v>
      </c>
      <c r="FK36" s="240">
        <f t="shared" si="62"/>
        <v>34</v>
      </c>
      <c r="FL36" s="239" t="str">
        <f t="shared" si="517"/>
        <v>Ivoorkust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Duitsland</v>
      </c>
      <c r="FX36" s="240">
        <f t="shared" si="65"/>
        <v>34</v>
      </c>
      <c r="FY36" s="239" t="str">
        <f t="shared" si="521"/>
        <v>Ivoorkust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Duitsland</v>
      </c>
      <c r="GK36" s="240">
        <f t="shared" si="68"/>
        <v>34</v>
      </c>
      <c r="GL36" s="239" t="str">
        <f t="shared" si="525"/>
        <v>Ivoorkust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Duitsland</v>
      </c>
      <c r="GX36" s="240">
        <f t="shared" si="71"/>
        <v>34</v>
      </c>
      <c r="GY36" s="239" t="str">
        <f t="shared" si="529"/>
        <v>Ivoorkust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Duitsland</v>
      </c>
      <c r="HK36" s="240">
        <f t="shared" si="74"/>
        <v>34</v>
      </c>
      <c r="HL36" s="239" t="str">
        <f t="shared" si="533"/>
        <v>Ivoorkust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Duitsland</v>
      </c>
      <c r="HX36" s="240">
        <f t="shared" si="77"/>
        <v>34</v>
      </c>
      <c r="HY36" s="239" t="str">
        <f t="shared" si="537"/>
        <v>Ivoorkust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Duitsland</v>
      </c>
      <c r="IK36" s="240">
        <f t="shared" si="80"/>
        <v>34</v>
      </c>
      <c r="IL36" s="239" t="str">
        <f t="shared" si="541"/>
        <v>Ivoorkust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Duitsland</v>
      </c>
      <c r="IX36" s="240">
        <f t="shared" si="83"/>
        <v>34</v>
      </c>
      <c r="IY36" s="239" t="str">
        <f t="shared" si="545"/>
        <v>Ivoorkust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Duitsland</v>
      </c>
      <c r="JK36" s="240">
        <f t="shared" si="86"/>
        <v>34</v>
      </c>
      <c r="JL36" s="239" t="str">
        <f t="shared" si="549"/>
        <v>Ivoorkust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Duitsland</v>
      </c>
      <c r="JX36" s="240">
        <f t="shared" si="89"/>
        <v>34</v>
      </c>
      <c r="JY36" s="239" t="str">
        <f t="shared" si="553"/>
        <v>Ivoorkust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Duitsland</v>
      </c>
      <c r="KK36" s="240">
        <f t="shared" si="92"/>
        <v>34</v>
      </c>
      <c r="KL36" s="239" t="str">
        <f t="shared" si="557"/>
        <v>Ivoorkust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Duitsland</v>
      </c>
      <c r="KX36" s="240">
        <f t="shared" si="95"/>
        <v>34</v>
      </c>
      <c r="KY36" s="239" t="str">
        <f t="shared" si="561"/>
        <v>Ivoorkust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Duitsland</v>
      </c>
      <c r="LK36" s="240">
        <f t="shared" si="98"/>
        <v>34</v>
      </c>
      <c r="LL36" s="239" t="str">
        <f t="shared" si="565"/>
        <v>Ivoorkust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Duitsland</v>
      </c>
      <c r="LX36" s="240">
        <f t="shared" si="101"/>
        <v>34</v>
      </c>
      <c r="LY36" s="239" t="str">
        <f t="shared" si="569"/>
        <v>Ivoorkust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0"/>
        <v>23</v>
      </c>
      <c r="J37" s="239" t="str">
        <f t="shared" si="468"/>
        <v>Ecuador</v>
      </c>
      <c r="K37" s="240">
        <f t="shared" si="26"/>
        <v>82</v>
      </c>
      <c r="L37" s="239" t="str">
        <f t="shared" si="469"/>
        <v>Curacao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Curacao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Curacao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Curacao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Curacao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Curacao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Curacao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Curacao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Curacao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Curacao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Curacao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Curacao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Curacao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Curacao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Curacao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Curacao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Curacao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Curacao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Curacao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Curacao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Curacao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Curacao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Curacao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Curacao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Curacao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Curacao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0"/>
        <v>82</v>
      </c>
      <c r="J38" s="239" t="str">
        <f t="shared" si="468"/>
        <v>Curacao</v>
      </c>
      <c r="K38" s="240">
        <f t="shared" si="26"/>
        <v>34</v>
      </c>
      <c r="L38" s="239" t="str">
        <f t="shared" si="469"/>
        <v>Ivoorkust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Curacao</v>
      </c>
      <c r="X38" s="240">
        <f t="shared" si="29"/>
        <v>34</v>
      </c>
      <c r="Y38" s="239" t="str">
        <f t="shared" si="473"/>
        <v>Ivoorkust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Curacao</v>
      </c>
      <c r="AK38" s="240">
        <f t="shared" si="32"/>
        <v>34</v>
      </c>
      <c r="AL38" s="239" t="str">
        <f t="shared" si="477"/>
        <v>Ivoorkust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Curacao</v>
      </c>
      <c r="AX38" s="240">
        <f t="shared" si="35"/>
        <v>34</v>
      </c>
      <c r="AY38" s="239" t="str">
        <f t="shared" si="481"/>
        <v>Ivoorkust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Curacao</v>
      </c>
      <c r="BK38" s="240">
        <f t="shared" si="38"/>
        <v>34</v>
      </c>
      <c r="BL38" s="239" t="str">
        <f t="shared" si="485"/>
        <v>Ivoorkust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Curacao</v>
      </c>
      <c r="BX38" s="240">
        <f t="shared" si="41"/>
        <v>34</v>
      </c>
      <c r="BY38" s="239" t="str">
        <f t="shared" si="489"/>
        <v>Ivoorkust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Curacao</v>
      </c>
      <c r="CK38" s="240">
        <f t="shared" si="44"/>
        <v>34</v>
      </c>
      <c r="CL38" s="239" t="str">
        <f t="shared" si="493"/>
        <v>Ivoorkust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Curacao</v>
      </c>
      <c r="CX38" s="240">
        <f t="shared" si="47"/>
        <v>34</v>
      </c>
      <c r="CY38" s="239" t="str">
        <f t="shared" si="497"/>
        <v>Ivoorkust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Curacao</v>
      </c>
      <c r="DK38" s="240">
        <f t="shared" si="50"/>
        <v>34</v>
      </c>
      <c r="DL38" s="239" t="str">
        <f t="shared" si="501"/>
        <v>Ivoorkust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Curacao</v>
      </c>
      <c r="DX38" s="240">
        <f t="shared" si="53"/>
        <v>34</v>
      </c>
      <c r="DY38" s="239" t="str">
        <f t="shared" si="505"/>
        <v>Ivoorkust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Curacao</v>
      </c>
      <c r="EK38" s="240">
        <f t="shared" si="56"/>
        <v>34</v>
      </c>
      <c r="EL38" s="239" t="str">
        <f t="shared" si="509"/>
        <v>Ivoorkust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Curacao</v>
      </c>
      <c r="EX38" s="240">
        <f t="shared" si="59"/>
        <v>34</v>
      </c>
      <c r="EY38" s="239" t="str">
        <f t="shared" si="513"/>
        <v>Ivoorkust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Curacao</v>
      </c>
      <c r="FK38" s="240">
        <f t="shared" si="62"/>
        <v>34</v>
      </c>
      <c r="FL38" s="239" t="str">
        <f t="shared" si="517"/>
        <v>Ivoorkust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Curacao</v>
      </c>
      <c r="FX38" s="240">
        <f t="shared" si="65"/>
        <v>34</v>
      </c>
      <c r="FY38" s="239" t="str">
        <f t="shared" si="521"/>
        <v>Ivoorkust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Curacao</v>
      </c>
      <c r="GK38" s="240">
        <f t="shared" si="68"/>
        <v>34</v>
      </c>
      <c r="GL38" s="239" t="str">
        <f t="shared" si="525"/>
        <v>Ivoorkust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Curacao</v>
      </c>
      <c r="GX38" s="240">
        <f t="shared" si="71"/>
        <v>34</v>
      </c>
      <c r="GY38" s="239" t="str">
        <f t="shared" si="529"/>
        <v>Ivoorkust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Curacao</v>
      </c>
      <c r="HK38" s="240">
        <f t="shared" si="74"/>
        <v>34</v>
      </c>
      <c r="HL38" s="239" t="str">
        <f t="shared" si="533"/>
        <v>Ivoorkust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Curacao</v>
      </c>
      <c r="HX38" s="240">
        <f t="shared" si="77"/>
        <v>34</v>
      </c>
      <c r="HY38" s="239" t="str">
        <f t="shared" si="537"/>
        <v>Ivoorkust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Curacao</v>
      </c>
      <c r="IK38" s="240">
        <f t="shared" si="80"/>
        <v>34</v>
      </c>
      <c r="IL38" s="239" t="str">
        <f t="shared" si="541"/>
        <v>Ivoorkust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Curacao</v>
      </c>
      <c r="IX38" s="240">
        <f t="shared" si="83"/>
        <v>34</v>
      </c>
      <c r="IY38" s="239" t="str">
        <f t="shared" si="545"/>
        <v>Ivoorkust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Curacao</v>
      </c>
      <c r="JK38" s="240">
        <f t="shared" si="86"/>
        <v>34</v>
      </c>
      <c r="JL38" s="239" t="str">
        <f t="shared" si="549"/>
        <v>Ivoorkust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Curacao</v>
      </c>
      <c r="JX38" s="240">
        <f t="shared" si="89"/>
        <v>34</v>
      </c>
      <c r="JY38" s="239" t="str">
        <f t="shared" si="553"/>
        <v>Ivoorkust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Curacao</v>
      </c>
      <c r="KK38" s="240">
        <f t="shared" si="92"/>
        <v>34</v>
      </c>
      <c r="KL38" s="239" t="str">
        <f t="shared" si="557"/>
        <v>Ivoorkust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Curacao</v>
      </c>
      <c r="KX38" s="240">
        <f t="shared" si="95"/>
        <v>34</v>
      </c>
      <c r="KY38" s="239" t="str">
        <f t="shared" si="561"/>
        <v>Ivoorkust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Curacao</v>
      </c>
      <c r="LK38" s="240">
        <f t="shared" si="98"/>
        <v>34</v>
      </c>
      <c r="LL38" s="239" t="str">
        <f t="shared" si="565"/>
        <v>Ivoorkust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Curacao</v>
      </c>
      <c r="LX38" s="240">
        <f t="shared" si="101"/>
        <v>34</v>
      </c>
      <c r="LY38" s="239" t="str">
        <f t="shared" si="569"/>
        <v>Ivoorkust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0"/>
        <v>23</v>
      </c>
      <c r="J39" s="239" t="str">
        <f t="shared" si="468"/>
        <v>Ecuador</v>
      </c>
      <c r="K39" s="240">
        <f t="shared" si="26"/>
        <v>10</v>
      </c>
      <c r="L39" s="239" t="str">
        <f t="shared" si="469"/>
        <v>Duitsland</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Duitsland</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Duitsland</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Duitsland</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Duitsland</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Duitsland</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Duitsland</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Duitsland</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Duitsland</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Duitsland</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Duitsland</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Duitsland</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Duitsland</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Duitsland</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Duitsland</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Duitsland</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Duitsland</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Duitsland</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Duitsland</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Duitsland</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Duitsland</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Duitsland</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Duitsland</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Duitsland</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Duitsland</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Duitsland</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0"/>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0"/>
        <v>7</v>
      </c>
      <c r="J41" s="239" t="str">
        <f t="shared" ref="J41:J46" si="572">$C41</f>
        <v>Nederland</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Nederland</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Nederland</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Nederland</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Nederland</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Nederland</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Nederland</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Nederland</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Nederland</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Nederland</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Nederland</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Nederland</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Nederland</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Nederland</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Nederland</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Nederland</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Nederland</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Nederland</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Nederland</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Nederland</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Nederland</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Nederland</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Nederland</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Nederland</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Nederland</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Nederland</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0"/>
        <v>38</v>
      </c>
      <c r="J42" s="239" t="str">
        <f t="shared" si="572"/>
        <v>Zweden</v>
      </c>
      <c r="K42" s="240">
        <f t="shared" si="26"/>
        <v>44</v>
      </c>
      <c r="L42" s="239" t="str">
        <f t="shared" si="573"/>
        <v>Tunesië</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Zweden</v>
      </c>
      <c r="X42" s="240">
        <f t="shared" si="29"/>
        <v>44</v>
      </c>
      <c r="Y42" s="239" t="str">
        <f t="shared" si="577"/>
        <v>Tunesië</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Zweden</v>
      </c>
      <c r="AK42" s="240">
        <f t="shared" si="32"/>
        <v>44</v>
      </c>
      <c r="AL42" s="239" t="str">
        <f t="shared" si="581"/>
        <v>Tunesië</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Zweden</v>
      </c>
      <c r="AX42" s="240">
        <f t="shared" si="35"/>
        <v>44</v>
      </c>
      <c r="AY42" s="239" t="str">
        <f t="shared" si="585"/>
        <v>Tunesië</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Zweden</v>
      </c>
      <c r="BK42" s="240">
        <f t="shared" si="38"/>
        <v>44</v>
      </c>
      <c r="BL42" s="239" t="str">
        <f t="shared" si="589"/>
        <v>Tunesië</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Zweden</v>
      </c>
      <c r="BX42" s="240">
        <f t="shared" si="41"/>
        <v>44</v>
      </c>
      <c r="BY42" s="239" t="str">
        <f t="shared" si="593"/>
        <v>Tunesië</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Zweden</v>
      </c>
      <c r="CK42" s="240">
        <f t="shared" si="44"/>
        <v>44</v>
      </c>
      <c r="CL42" s="239" t="str">
        <f t="shared" si="597"/>
        <v>Tunesië</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Zweden</v>
      </c>
      <c r="CX42" s="240">
        <f t="shared" si="47"/>
        <v>44</v>
      </c>
      <c r="CY42" s="239" t="str">
        <f t="shared" si="601"/>
        <v>Tunesië</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Zweden</v>
      </c>
      <c r="DK42" s="240">
        <f t="shared" si="50"/>
        <v>44</v>
      </c>
      <c r="DL42" s="239" t="str">
        <f t="shared" si="605"/>
        <v>Tunesië</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Zweden</v>
      </c>
      <c r="DX42" s="240">
        <f t="shared" si="53"/>
        <v>44</v>
      </c>
      <c r="DY42" s="239" t="str">
        <f t="shared" si="609"/>
        <v>Tunesië</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Zweden</v>
      </c>
      <c r="EK42" s="240">
        <f t="shared" si="56"/>
        <v>44</v>
      </c>
      <c r="EL42" s="239" t="str">
        <f t="shared" si="613"/>
        <v>Tunesië</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Zweden</v>
      </c>
      <c r="EX42" s="240">
        <f t="shared" si="59"/>
        <v>44</v>
      </c>
      <c r="EY42" s="239" t="str">
        <f t="shared" si="617"/>
        <v>Tunesië</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Zweden</v>
      </c>
      <c r="FK42" s="240">
        <f t="shared" si="62"/>
        <v>44</v>
      </c>
      <c r="FL42" s="239" t="str">
        <f t="shared" si="621"/>
        <v>Tunesië</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Zweden</v>
      </c>
      <c r="FX42" s="240">
        <f t="shared" si="65"/>
        <v>44</v>
      </c>
      <c r="FY42" s="239" t="str">
        <f t="shared" si="625"/>
        <v>Tunesië</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Zweden</v>
      </c>
      <c r="GK42" s="240">
        <f t="shared" si="68"/>
        <v>44</v>
      </c>
      <c r="GL42" s="239" t="str">
        <f t="shared" si="629"/>
        <v>Tunesië</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Zweden</v>
      </c>
      <c r="GX42" s="240">
        <f t="shared" si="71"/>
        <v>44</v>
      </c>
      <c r="GY42" s="239" t="str">
        <f t="shared" si="633"/>
        <v>Tunesië</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Zweden</v>
      </c>
      <c r="HK42" s="240">
        <f t="shared" si="74"/>
        <v>44</v>
      </c>
      <c r="HL42" s="239" t="str">
        <f t="shared" si="637"/>
        <v>Tunesië</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Zweden</v>
      </c>
      <c r="HX42" s="240">
        <f t="shared" si="77"/>
        <v>44</v>
      </c>
      <c r="HY42" s="239" t="str">
        <f t="shared" si="641"/>
        <v>Tunesië</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Zweden</v>
      </c>
      <c r="IK42" s="240">
        <f t="shared" si="80"/>
        <v>44</v>
      </c>
      <c r="IL42" s="239" t="str">
        <f t="shared" si="645"/>
        <v>Tunesië</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Zweden</v>
      </c>
      <c r="IX42" s="240">
        <f t="shared" si="83"/>
        <v>44</v>
      </c>
      <c r="IY42" s="239" t="str">
        <f t="shared" si="649"/>
        <v>Tunesië</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Zweden</v>
      </c>
      <c r="JK42" s="240">
        <f t="shared" si="86"/>
        <v>44</v>
      </c>
      <c r="JL42" s="239" t="str">
        <f t="shared" si="653"/>
        <v>Tunesië</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Zweden</v>
      </c>
      <c r="JX42" s="240">
        <f t="shared" si="89"/>
        <v>44</v>
      </c>
      <c r="JY42" s="239" t="str">
        <f t="shared" si="657"/>
        <v>Tunesië</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Zweden</v>
      </c>
      <c r="KK42" s="240">
        <f t="shared" si="92"/>
        <v>44</v>
      </c>
      <c r="KL42" s="239" t="str">
        <f t="shared" si="661"/>
        <v>Tunesië</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Zweden</v>
      </c>
      <c r="KX42" s="240">
        <f t="shared" si="95"/>
        <v>44</v>
      </c>
      <c r="KY42" s="239" t="str">
        <f t="shared" si="665"/>
        <v>Tunesië</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Zweden</v>
      </c>
      <c r="LK42" s="240">
        <f t="shared" si="98"/>
        <v>44</v>
      </c>
      <c r="LL42" s="239" t="str">
        <f t="shared" si="669"/>
        <v>Tunesië</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Zweden</v>
      </c>
      <c r="LX42" s="240">
        <f t="shared" si="101"/>
        <v>44</v>
      </c>
      <c r="LY42" s="239" t="str">
        <f t="shared" si="673"/>
        <v>Tunesië</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0"/>
        <v>7</v>
      </c>
      <c r="J43" s="239" t="str">
        <f t="shared" si="572"/>
        <v>Nederland</v>
      </c>
      <c r="K43" s="240">
        <f t="shared" si="26"/>
        <v>38</v>
      </c>
      <c r="L43" s="239" t="str">
        <f t="shared" si="573"/>
        <v>Zweden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Nederland</v>
      </c>
      <c r="X43" s="240">
        <f t="shared" si="29"/>
        <v>38</v>
      </c>
      <c r="Y43" s="239" t="str">
        <f t="shared" si="577"/>
        <v>Zweden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Nederland</v>
      </c>
      <c r="AK43" s="240">
        <f t="shared" si="32"/>
        <v>38</v>
      </c>
      <c r="AL43" s="239" t="str">
        <f t="shared" si="581"/>
        <v>Zweden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Nederland</v>
      </c>
      <c r="AX43" s="240">
        <f t="shared" si="35"/>
        <v>38</v>
      </c>
      <c r="AY43" s="239" t="str">
        <f t="shared" si="585"/>
        <v>Zweden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Nederland</v>
      </c>
      <c r="BK43" s="240">
        <f t="shared" si="38"/>
        <v>38</v>
      </c>
      <c r="BL43" s="239" t="str">
        <f t="shared" si="589"/>
        <v>Zweden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Nederland</v>
      </c>
      <c r="BX43" s="240">
        <f t="shared" si="41"/>
        <v>38</v>
      </c>
      <c r="BY43" s="239" t="str">
        <f t="shared" si="593"/>
        <v>Zweden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Nederland</v>
      </c>
      <c r="CK43" s="240">
        <f t="shared" si="44"/>
        <v>38</v>
      </c>
      <c r="CL43" s="239" t="str">
        <f t="shared" si="597"/>
        <v>Zweden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Nederland</v>
      </c>
      <c r="CX43" s="240">
        <f t="shared" si="47"/>
        <v>38</v>
      </c>
      <c r="CY43" s="239" t="str">
        <f t="shared" si="601"/>
        <v>Zweden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Nederland</v>
      </c>
      <c r="DK43" s="240">
        <f t="shared" si="50"/>
        <v>38</v>
      </c>
      <c r="DL43" s="239" t="str">
        <f t="shared" si="605"/>
        <v>Zweden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Nederland</v>
      </c>
      <c r="DX43" s="240">
        <f t="shared" si="53"/>
        <v>38</v>
      </c>
      <c r="DY43" s="239" t="str">
        <f t="shared" si="609"/>
        <v>Zweden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Nederland</v>
      </c>
      <c r="EK43" s="240">
        <f t="shared" si="56"/>
        <v>38</v>
      </c>
      <c r="EL43" s="239" t="str">
        <f t="shared" si="613"/>
        <v>Zweden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Nederland</v>
      </c>
      <c r="EX43" s="240">
        <f t="shared" si="59"/>
        <v>38</v>
      </c>
      <c r="EY43" s="239" t="str">
        <f t="shared" si="617"/>
        <v>Zweden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Nederland</v>
      </c>
      <c r="FK43" s="240">
        <f t="shared" si="62"/>
        <v>38</v>
      </c>
      <c r="FL43" s="239" t="str">
        <f t="shared" si="621"/>
        <v>Zweden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Nederland</v>
      </c>
      <c r="FX43" s="240">
        <f t="shared" si="65"/>
        <v>38</v>
      </c>
      <c r="FY43" s="239" t="str">
        <f t="shared" si="625"/>
        <v>Zweden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Nederland</v>
      </c>
      <c r="GK43" s="240">
        <f t="shared" si="68"/>
        <v>38</v>
      </c>
      <c r="GL43" s="239" t="str">
        <f t="shared" si="629"/>
        <v>Zweden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Nederland</v>
      </c>
      <c r="GX43" s="240">
        <f t="shared" si="71"/>
        <v>38</v>
      </c>
      <c r="GY43" s="239" t="str">
        <f t="shared" si="633"/>
        <v>Zweden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Nederland</v>
      </c>
      <c r="HK43" s="240">
        <f t="shared" si="74"/>
        <v>38</v>
      </c>
      <c r="HL43" s="239" t="str">
        <f t="shared" si="637"/>
        <v>Zweden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Nederland</v>
      </c>
      <c r="HX43" s="240">
        <f t="shared" si="77"/>
        <v>38</v>
      </c>
      <c r="HY43" s="239" t="str">
        <f t="shared" si="641"/>
        <v>Zweden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Nederland</v>
      </c>
      <c r="IK43" s="240">
        <f t="shared" si="80"/>
        <v>38</v>
      </c>
      <c r="IL43" s="239" t="str">
        <f t="shared" si="645"/>
        <v>Zweden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Nederland</v>
      </c>
      <c r="IX43" s="240">
        <f t="shared" si="83"/>
        <v>38</v>
      </c>
      <c r="IY43" s="239" t="str">
        <f t="shared" si="649"/>
        <v>Zweden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Nederland</v>
      </c>
      <c r="JK43" s="240">
        <f t="shared" si="86"/>
        <v>38</v>
      </c>
      <c r="JL43" s="239" t="str">
        <f t="shared" si="653"/>
        <v>Zweden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Nederland</v>
      </c>
      <c r="JX43" s="240">
        <f t="shared" si="89"/>
        <v>38</v>
      </c>
      <c r="JY43" s="239" t="str">
        <f t="shared" si="657"/>
        <v>Zweden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Nederland</v>
      </c>
      <c r="KK43" s="240">
        <f t="shared" si="92"/>
        <v>38</v>
      </c>
      <c r="KL43" s="239" t="str">
        <f t="shared" si="661"/>
        <v>Zweden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Nederland</v>
      </c>
      <c r="KX43" s="240">
        <f t="shared" si="95"/>
        <v>38</v>
      </c>
      <c r="KY43" s="239" t="str">
        <f t="shared" si="665"/>
        <v>Zweden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Nederland</v>
      </c>
      <c r="LK43" s="240">
        <f t="shared" si="98"/>
        <v>38</v>
      </c>
      <c r="LL43" s="239" t="str">
        <f t="shared" si="669"/>
        <v>Zweden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Nederland</v>
      </c>
      <c r="LX43" s="240">
        <f t="shared" si="101"/>
        <v>38</v>
      </c>
      <c r="LY43" s="239" t="str">
        <f t="shared" si="673"/>
        <v>Zweden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0"/>
        <v>44</v>
      </c>
      <c r="J44" s="239" t="str">
        <f t="shared" si="572"/>
        <v>Tunesië</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Tunesië</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Tunesië</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Tunesië</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Tunesië</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Tunesië</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Tunesië</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Tunesië</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Tunesië</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Tunesië</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Tunesië</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Tunesië</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Tunesië</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Tunesië</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Tunesië</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Tunesië</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Tunesië</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Tunesië</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Tunesië</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Tunesië</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Tunesië</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Tunesië</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Tunesië</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Tunesië</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Tunesië</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Tunesië</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0"/>
        <v>18</v>
      </c>
      <c r="J45" s="239" t="str">
        <f t="shared" si="572"/>
        <v>Japan</v>
      </c>
      <c r="K45" s="240">
        <f t="shared" si="26"/>
        <v>38</v>
      </c>
      <c r="L45" s="239" t="str">
        <f t="shared" si="573"/>
        <v>Zweden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Zweden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Zweden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Zweden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Zweden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Zweden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Zweden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Zweden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Zweden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Zweden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Zweden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Zweden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Zweden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Zweden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Zweden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Zweden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Zweden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Zweden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Zweden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Zweden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Zweden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Zweden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Zweden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Zweden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Zweden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Zweden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0"/>
        <v>44</v>
      </c>
      <c r="J46" s="239" t="str">
        <f t="shared" si="572"/>
        <v>Tunesië</v>
      </c>
      <c r="K46" s="240">
        <f t="shared" si="26"/>
        <v>7</v>
      </c>
      <c r="L46" s="239" t="str">
        <f t="shared" si="573"/>
        <v>Nederland</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Tunesië</v>
      </c>
      <c r="X46" s="240">
        <f t="shared" si="29"/>
        <v>7</v>
      </c>
      <c r="Y46" s="239" t="str">
        <f t="shared" si="577"/>
        <v>Nederland</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Tunesië</v>
      </c>
      <c r="AK46" s="240">
        <f t="shared" si="32"/>
        <v>7</v>
      </c>
      <c r="AL46" s="239" t="str">
        <f t="shared" si="581"/>
        <v>Nederland</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Tunesië</v>
      </c>
      <c r="AX46" s="240">
        <f t="shared" si="35"/>
        <v>7</v>
      </c>
      <c r="AY46" s="239" t="str">
        <f t="shared" si="585"/>
        <v>Nederland</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Tunesië</v>
      </c>
      <c r="BK46" s="240">
        <f t="shared" si="38"/>
        <v>7</v>
      </c>
      <c r="BL46" s="239" t="str">
        <f t="shared" si="589"/>
        <v>Nederland</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Tunesië</v>
      </c>
      <c r="BX46" s="240">
        <f t="shared" si="41"/>
        <v>7</v>
      </c>
      <c r="BY46" s="239" t="str">
        <f t="shared" si="593"/>
        <v>Nederland</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Tunesië</v>
      </c>
      <c r="CK46" s="240">
        <f t="shared" si="44"/>
        <v>7</v>
      </c>
      <c r="CL46" s="239" t="str">
        <f t="shared" si="597"/>
        <v>Nederland</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Tunesië</v>
      </c>
      <c r="CX46" s="240">
        <f t="shared" si="47"/>
        <v>7</v>
      </c>
      <c r="CY46" s="239" t="str">
        <f t="shared" si="601"/>
        <v>Nederland</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Tunesië</v>
      </c>
      <c r="DK46" s="240">
        <f t="shared" si="50"/>
        <v>7</v>
      </c>
      <c r="DL46" s="239" t="str">
        <f t="shared" si="605"/>
        <v>Nederland</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Tunesië</v>
      </c>
      <c r="DX46" s="240">
        <f t="shared" si="53"/>
        <v>7</v>
      </c>
      <c r="DY46" s="239" t="str">
        <f t="shared" si="609"/>
        <v>Nederland</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Tunesië</v>
      </c>
      <c r="EK46" s="240">
        <f t="shared" si="56"/>
        <v>7</v>
      </c>
      <c r="EL46" s="239" t="str">
        <f t="shared" si="613"/>
        <v>Nederland</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Tunesië</v>
      </c>
      <c r="EX46" s="240">
        <f t="shared" si="59"/>
        <v>7</v>
      </c>
      <c r="EY46" s="239" t="str">
        <f t="shared" si="617"/>
        <v>Nederland</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Tunesië</v>
      </c>
      <c r="FK46" s="240">
        <f t="shared" si="62"/>
        <v>7</v>
      </c>
      <c r="FL46" s="239" t="str">
        <f t="shared" si="621"/>
        <v>Nederland</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Tunesië</v>
      </c>
      <c r="FX46" s="240">
        <f t="shared" si="65"/>
        <v>7</v>
      </c>
      <c r="FY46" s="239" t="str">
        <f t="shared" si="625"/>
        <v>Nederland</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Tunesië</v>
      </c>
      <c r="GK46" s="240">
        <f t="shared" si="68"/>
        <v>7</v>
      </c>
      <c r="GL46" s="239" t="str">
        <f t="shared" si="629"/>
        <v>Nederland</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Tunesië</v>
      </c>
      <c r="GX46" s="240">
        <f t="shared" si="71"/>
        <v>7</v>
      </c>
      <c r="GY46" s="239" t="str">
        <f t="shared" si="633"/>
        <v>Nederland</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Tunesië</v>
      </c>
      <c r="HK46" s="240">
        <f t="shared" si="74"/>
        <v>7</v>
      </c>
      <c r="HL46" s="239" t="str">
        <f t="shared" si="637"/>
        <v>Nederland</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Tunesië</v>
      </c>
      <c r="HX46" s="240">
        <f t="shared" si="77"/>
        <v>7</v>
      </c>
      <c r="HY46" s="239" t="str">
        <f t="shared" si="641"/>
        <v>Nederland</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Tunesië</v>
      </c>
      <c r="IK46" s="240">
        <f t="shared" si="80"/>
        <v>7</v>
      </c>
      <c r="IL46" s="239" t="str">
        <f t="shared" si="645"/>
        <v>Nederland</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Tunesië</v>
      </c>
      <c r="IX46" s="240">
        <f t="shared" si="83"/>
        <v>7</v>
      </c>
      <c r="IY46" s="239" t="str">
        <f t="shared" si="649"/>
        <v>Nederland</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Tunesië</v>
      </c>
      <c r="JK46" s="240">
        <f t="shared" si="86"/>
        <v>7</v>
      </c>
      <c r="JL46" s="239" t="str">
        <f t="shared" si="653"/>
        <v>Nederland</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Tunesië</v>
      </c>
      <c r="JX46" s="240">
        <f t="shared" si="89"/>
        <v>7</v>
      </c>
      <c r="JY46" s="239" t="str">
        <f t="shared" si="657"/>
        <v>Nederland</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Tunesië</v>
      </c>
      <c r="KK46" s="240">
        <f t="shared" si="92"/>
        <v>7</v>
      </c>
      <c r="KL46" s="239" t="str">
        <f t="shared" si="661"/>
        <v>Nederland</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Tunesië</v>
      </c>
      <c r="KX46" s="240">
        <f t="shared" si="95"/>
        <v>7</v>
      </c>
      <c r="KY46" s="239" t="str">
        <f t="shared" si="665"/>
        <v>Nederland</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Tunesië</v>
      </c>
      <c r="LK46" s="240">
        <f t="shared" si="98"/>
        <v>7</v>
      </c>
      <c r="LL46" s="239" t="str">
        <f t="shared" si="669"/>
        <v>Nederland</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Tunesië</v>
      </c>
      <c r="LX46" s="240">
        <f t="shared" si="101"/>
        <v>7</v>
      </c>
      <c r="LY46" s="239" t="str">
        <f t="shared" si="673"/>
        <v>Nederland</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0"/>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0"/>
        <v>9</v>
      </c>
      <c r="J48" s="239" t="str">
        <f t="shared" ref="J48:J53" si="676">$C48</f>
        <v>België</v>
      </c>
      <c r="K48" s="240">
        <f t="shared" si="26"/>
        <v>29</v>
      </c>
      <c r="L48" s="239" t="str">
        <f t="shared" ref="L48:L53" si="677">$E48</f>
        <v>Egypte</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België</v>
      </c>
      <c r="X48" s="240">
        <f t="shared" si="29"/>
        <v>29</v>
      </c>
      <c r="Y48" s="239" t="str">
        <f t="shared" ref="Y48:Y53" si="681">$E48</f>
        <v>Egypte</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België</v>
      </c>
      <c r="AK48" s="240">
        <f t="shared" si="32"/>
        <v>29</v>
      </c>
      <c r="AL48" s="239" t="str">
        <f t="shared" ref="AL48:AL53" si="685">$E48</f>
        <v>Egypte</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België</v>
      </c>
      <c r="AX48" s="240">
        <f t="shared" si="35"/>
        <v>29</v>
      </c>
      <c r="AY48" s="239" t="str">
        <f t="shared" ref="AY48:AY53" si="689">$E48</f>
        <v>Egypte</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België</v>
      </c>
      <c r="BK48" s="240">
        <f t="shared" si="38"/>
        <v>29</v>
      </c>
      <c r="BL48" s="239" t="str">
        <f t="shared" ref="BL48:BL53" si="693">$E48</f>
        <v>Egypte</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België</v>
      </c>
      <c r="BX48" s="240">
        <f t="shared" si="41"/>
        <v>29</v>
      </c>
      <c r="BY48" s="239" t="str">
        <f t="shared" ref="BY48:BY53" si="697">$E48</f>
        <v>Egypte</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België</v>
      </c>
      <c r="CK48" s="240">
        <f t="shared" si="44"/>
        <v>29</v>
      </c>
      <c r="CL48" s="239" t="str">
        <f t="shared" ref="CL48:CL53" si="701">$E48</f>
        <v>Egypte</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België</v>
      </c>
      <c r="CX48" s="240">
        <f t="shared" si="47"/>
        <v>29</v>
      </c>
      <c r="CY48" s="239" t="str">
        <f t="shared" ref="CY48:CY53" si="705">$E48</f>
        <v>Egypte</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België</v>
      </c>
      <c r="DK48" s="240">
        <f t="shared" si="50"/>
        <v>29</v>
      </c>
      <c r="DL48" s="239" t="str">
        <f t="shared" ref="DL48:DL53" si="709">$E48</f>
        <v>Egypte</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België</v>
      </c>
      <c r="DX48" s="240">
        <f t="shared" si="53"/>
        <v>29</v>
      </c>
      <c r="DY48" s="239" t="str">
        <f t="shared" ref="DY48:DY53" si="713">$E48</f>
        <v>Egypte</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België</v>
      </c>
      <c r="EK48" s="240">
        <f t="shared" si="56"/>
        <v>29</v>
      </c>
      <c r="EL48" s="239" t="str">
        <f t="shared" ref="EL48:EL53" si="717">$E48</f>
        <v>Egypte</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België</v>
      </c>
      <c r="EX48" s="240">
        <f t="shared" si="59"/>
        <v>29</v>
      </c>
      <c r="EY48" s="239" t="str">
        <f t="shared" ref="EY48:EY53" si="721">$E48</f>
        <v>Egypte</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België</v>
      </c>
      <c r="FK48" s="240">
        <f t="shared" si="62"/>
        <v>29</v>
      </c>
      <c r="FL48" s="239" t="str">
        <f t="shared" ref="FL48:FL53" si="725">$E48</f>
        <v>Egypte</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België</v>
      </c>
      <c r="FX48" s="240">
        <f t="shared" si="65"/>
        <v>29</v>
      </c>
      <c r="FY48" s="239" t="str">
        <f t="shared" ref="FY48:FY53" si="729">$E48</f>
        <v>Egypte</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België</v>
      </c>
      <c r="GK48" s="240">
        <f t="shared" si="68"/>
        <v>29</v>
      </c>
      <c r="GL48" s="239" t="str">
        <f t="shared" ref="GL48:GL53" si="733">$E48</f>
        <v>Egypte</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België</v>
      </c>
      <c r="GX48" s="240">
        <f t="shared" si="71"/>
        <v>29</v>
      </c>
      <c r="GY48" s="239" t="str">
        <f t="shared" ref="GY48:GY53" si="737">$E48</f>
        <v>Egypte</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België</v>
      </c>
      <c r="HK48" s="240">
        <f t="shared" si="74"/>
        <v>29</v>
      </c>
      <c r="HL48" s="239" t="str">
        <f t="shared" ref="HL48:HL53" si="741">$E48</f>
        <v>Egypte</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België</v>
      </c>
      <c r="HX48" s="240">
        <f t="shared" si="77"/>
        <v>29</v>
      </c>
      <c r="HY48" s="239" t="str">
        <f t="shared" ref="HY48:HY53" si="745">$E48</f>
        <v>Egypte</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België</v>
      </c>
      <c r="IK48" s="240">
        <f t="shared" si="80"/>
        <v>29</v>
      </c>
      <c r="IL48" s="239" t="str">
        <f t="shared" ref="IL48:IL53" si="749">$E48</f>
        <v>Egypte</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België</v>
      </c>
      <c r="IX48" s="240">
        <f t="shared" si="83"/>
        <v>29</v>
      </c>
      <c r="IY48" s="239" t="str">
        <f t="shared" ref="IY48:IY53" si="753">$E48</f>
        <v>Egypte</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België</v>
      </c>
      <c r="JK48" s="240">
        <f t="shared" si="86"/>
        <v>29</v>
      </c>
      <c r="JL48" s="239" t="str">
        <f t="shared" ref="JL48:JL53" si="757">$E48</f>
        <v>Egypte</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België</v>
      </c>
      <c r="JX48" s="240">
        <f t="shared" si="89"/>
        <v>29</v>
      </c>
      <c r="JY48" s="239" t="str">
        <f t="shared" ref="JY48:JY53" si="761">$E48</f>
        <v>Egypte</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België</v>
      </c>
      <c r="KK48" s="240">
        <f t="shared" si="92"/>
        <v>29</v>
      </c>
      <c r="KL48" s="239" t="str">
        <f t="shared" ref="KL48:KL53" si="765">$E48</f>
        <v>Egypte</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België</v>
      </c>
      <c r="KX48" s="240">
        <f t="shared" si="95"/>
        <v>29</v>
      </c>
      <c r="KY48" s="239" t="str">
        <f t="shared" ref="KY48:KY53" si="769">$E48</f>
        <v>Egypte</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België</v>
      </c>
      <c r="LK48" s="240">
        <f t="shared" si="98"/>
        <v>29</v>
      </c>
      <c r="LL48" s="239" t="str">
        <f t="shared" ref="LL48:LL53" si="773">$E48</f>
        <v>Egypte</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België</v>
      </c>
      <c r="LX48" s="240">
        <f t="shared" si="101"/>
        <v>29</v>
      </c>
      <c r="LY48" s="239" t="str">
        <f t="shared" ref="LY48:LY53" si="777">$E48</f>
        <v>Egypte</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0"/>
        <v>21</v>
      </c>
      <c r="J49" s="239" t="str">
        <f t="shared" si="676"/>
        <v>Iran</v>
      </c>
      <c r="K49" s="240">
        <f t="shared" si="26"/>
        <v>85</v>
      </c>
      <c r="L49" s="239" t="str">
        <f t="shared" si="677"/>
        <v>Nieuw-Zeeland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Iran</v>
      </c>
      <c r="X49" s="240">
        <f t="shared" si="29"/>
        <v>85</v>
      </c>
      <c r="Y49" s="239" t="str">
        <f t="shared" si="681"/>
        <v>Nieuw-Zeeland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Iran</v>
      </c>
      <c r="AK49" s="240">
        <f t="shared" si="32"/>
        <v>85</v>
      </c>
      <c r="AL49" s="239" t="str">
        <f t="shared" si="685"/>
        <v>Nieuw-Zeeland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Iran</v>
      </c>
      <c r="AX49" s="240">
        <f t="shared" si="35"/>
        <v>85</v>
      </c>
      <c r="AY49" s="239" t="str">
        <f t="shared" si="689"/>
        <v>Nieuw-Zeeland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Iran</v>
      </c>
      <c r="BK49" s="240">
        <f t="shared" si="38"/>
        <v>85</v>
      </c>
      <c r="BL49" s="239" t="str">
        <f t="shared" si="693"/>
        <v>Nieuw-Zeeland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Iran</v>
      </c>
      <c r="BX49" s="240">
        <f t="shared" si="41"/>
        <v>85</v>
      </c>
      <c r="BY49" s="239" t="str">
        <f t="shared" si="697"/>
        <v>Nieuw-Zeeland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Iran</v>
      </c>
      <c r="CK49" s="240">
        <f t="shared" si="44"/>
        <v>85</v>
      </c>
      <c r="CL49" s="239" t="str">
        <f t="shared" si="701"/>
        <v>Nieuw-Zeeland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Iran</v>
      </c>
      <c r="CX49" s="240">
        <f t="shared" si="47"/>
        <v>85</v>
      </c>
      <c r="CY49" s="239" t="str">
        <f t="shared" si="705"/>
        <v>Nieuw-Zeeland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Iran</v>
      </c>
      <c r="DK49" s="240">
        <f t="shared" si="50"/>
        <v>85</v>
      </c>
      <c r="DL49" s="239" t="str">
        <f t="shared" si="709"/>
        <v>Nieuw-Zeeland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Iran</v>
      </c>
      <c r="DX49" s="240">
        <f t="shared" si="53"/>
        <v>85</v>
      </c>
      <c r="DY49" s="239" t="str">
        <f t="shared" si="713"/>
        <v>Nieuw-Zeeland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Iran</v>
      </c>
      <c r="EK49" s="240">
        <f t="shared" si="56"/>
        <v>85</v>
      </c>
      <c r="EL49" s="239" t="str">
        <f t="shared" si="717"/>
        <v>Nieuw-Zeeland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Iran</v>
      </c>
      <c r="EX49" s="240">
        <f t="shared" si="59"/>
        <v>85</v>
      </c>
      <c r="EY49" s="239" t="str">
        <f t="shared" si="721"/>
        <v>Nieuw-Zeeland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Iran</v>
      </c>
      <c r="FK49" s="240">
        <f t="shared" si="62"/>
        <v>85</v>
      </c>
      <c r="FL49" s="239" t="str">
        <f t="shared" si="725"/>
        <v>Nieuw-Zeeland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Iran</v>
      </c>
      <c r="FX49" s="240">
        <f t="shared" si="65"/>
        <v>85</v>
      </c>
      <c r="FY49" s="239" t="str">
        <f t="shared" si="729"/>
        <v>Nieuw-Zeeland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Iran</v>
      </c>
      <c r="GK49" s="240">
        <f t="shared" si="68"/>
        <v>85</v>
      </c>
      <c r="GL49" s="239" t="str">
        <f t="shared" si="733"/>
        <v>Nieuw-Zeeland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Iran</v>
      </c>
      <c r="GX49" s="240">
        <f t="shared" si="71"/>
        <v>85</v>
      </c>
      <c r="GY49" s="239" t="str">
        <f t="shared" si="737"/>
        <v>Nieuw-Zeeland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Iran</v>
      </c>
      <c r="HK49" s="240">
        <f t="shared" si="74"/>
        <v>85</v>
      </c>
      <c r="HL49" s="239" t="str">
        <f t="shared" si="741"/>
        <v>Nieuw-Zeeland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Iran</v>
      </c>
      <c r="HX49" s="240">
        <f t="shared" si="77"/>
        <v>85</v>
      </c>
      <c r="HY49" s="239" t="str">
        <f t="shared" si="745"/>
        <v>Nieuw-Zeeland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Iran</v>
      </c>
      <c r="IK49" s="240">
        <f t="shared" si="80"/>
        <v>85</v>
      </c>
      <c r="IL49" s="239" t="str">
        <f t="shared" si="749"/>
        <v>Nieuw-Zeeland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Iran</v>
      </c>
      <c r="IX49" s="240">
        <f t="shared" si="83"/>
        <v>85</v>
      </c>
      <c r="IY49" s="239" t="str">
        <f t="shared" si="753"/>
        <v>Nieuw-Zeeland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Iran</v>
      </c>
      <c r="JK49" s="240">
        <f t="shared" si="86"/>
        <v>85</v>
      </c>
      <c r="JL49" s="239" t="str">
        <f t="shared" si="757"/>
        <v>Nieuw-Zeeland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Iran</v>
      </c>
      <c r="JX49" s="240">
        <f t="shared" si="89"/>
        <v>85</v>
      </c>
      <c r="JY49" s="239" t="str">
        <f t="shared" si="761"/>
        <v>Nieuw-Zeeland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Iran</v>
      </c>
      <c r="KK49" s="240">
        <f t="shared" si="92"/>
        <v>85</v>
      </c>
      <c r="KL49" s="239" t="str">
        <f t="shared" si="765"/>
        <v>Nieuw-Zeeland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Iran</v>
      </c>
      <c r="KX49" s="240">
        <f t="shared" si="95"/>
        <v>85</v>
      </c>
      <c r="KY49" s="239" t="str">
        <f t="shared" si="769"/>
        <v>Nieuw-Zeeland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Iran</v>
      </c>
      <c r="LK49" s="240">
        <f t="shared" si="98"/>
        <v>85</v>
      </c>
      <c r="LL49" s="239" t="str">
        <f t="shared" si="773"/>
        <v>Nieuw-Zeeland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Iran</v>
      </c>
      <c r="LX49" s="240">
        <f t="shared" si="101"/>
        <v>85</v>
      </c>
      <c r="LY49" s="239" t="str">
        <f t="shared" si="777"/>
        <v>Nieuw-Zeeland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0"/>
        <v>9</v>
      </c>
      <c r="J50" s="239" t="str">
        <f t="shared" si="676"/>
        <v>België</v>
      </c>
      <c r="K50" s="240">
        <f t="shared" si="26"/>
        <v>21</v>
      </c>
      <c r="L50" s="239" t="str">
        <f t="shared" si="677"/>
        <v>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België</v>
      </c>
      <c r="X50" s="240">
        <f t="shared" si="29"/>
        <v>21</v>
      </c>
      <c r="Y50" s="239" t="str">
        <f t="shared" si="681"/>
        <v>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België</v>
      </c>
      <c r="AK50" s="240">
        <f t="shared" si="32"/>
        <v>21</v>
      </c>
      <c r="AL50" s="239" t="str">
        <f t="shared" si="685"/>
        <v>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België</v>
      </c>
      <c r="AX50" s="240">
        <f t="shared" si="35"/>
        <v>21</v>
      </c>
      <c r="AY50" s="239" t="str">
        <f t="shared" si="689"/>
        <v>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België</v>
      </c>
      <c r="BK50" s="240">
        <f t="shared" si="38"/>
        <v>21</v>
      </c>
      <c r="BL50" s="239" t="str">
        <f t="shared" si="693"/>
        <v>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België</v>
      </c>
      <c r="BX50" s="240">
        <f t="shared" si="41"/>
        <v>21</v>
      </c>
      <c r="BY50" s="239" t="str">
        <f t="shared" si="697"/>
        <v>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België</v>
      </c>
      <c r="CK50" s="240">
        <f t="shared" si="44"/>
        <v>21</v>
      </c>
      <c r="CL50" s="239" t="str">
        <f t="shared" si="701"/>
        <v>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België</v>
      </c>
      <c r="CX50" s="240">
        <f t="shared" si="47"/>
        <v>21</v>
      </c>
      <c r="CY50" s="239" t="str">
        <f t="shared" si="705"/>
        <v>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België</v>
      </c>
      <c r="DK50" s="240">
        <f t="shared" si="50"/>
        <v>21</v>
      </c>
      <c r="DL50" s="239" t="str">
        <f t="shared" si="709"/>
        <v>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België</v>
      </c>
      <c r="DX50" s="240">
        <f t="shared" si="53"/>
        <v>21</v>
      </c>
      <c r="DY50" s="239" t="str">
        <f t="shared" si="713"/>
        <v>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België</v>
      </c>
      <c r="EK50" s="240">
        <f t="shared" si="56"/>
        <v>21</v>
      </c>
      <c r="EL50" s="239" t="str">
        <f t="shared" si="717"/>
        <v>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België</v>
      </c>
      <c r="EX50" s="240">
        <f t="shared" si="59"/>
        <v>21</v>
      </c>
      <c r="EY50" s="239" t="str">
        <f t="shared" si="721"/>
        <v>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België</v>
      </c>
      <c r="FK50" s="240">
        <f t="shared" si="62"/>
        <v>21</v>
      </c>
      <c r="FL50" s="239" t="str">
        <f t="shared" si="725"/>
        <v>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België</v>
      </c>
      <c r="FX50" s="240">
        <f t="shared" si="65"/>
        <v>21</v>
      </c>
      <c r="FY50" s="239" t="str">
        <f t="shared" si="729"/>
        <v>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België</v>
      </c>
      <c r="GK50" s="240">
        <f t="shared" si="68"/>
        <v>21</v>
      </c>
      <c r="GL50" s="239" t="str">
        <f t="shared" si="733"/>
        <v>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België</v>
      </c>
      <c r="GX50" s="240">
        <f t="shared" si="71"/>
        <v>21</v>
      </c>
      <c r="GY50" s="239" t="str">
        <f t="shared" si="737"/>
        <v>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België</v>
      </c>
      <c r="HK50" s="240">
        <f t="shared" si="74"/>
        <v>21</v>
      </c>
      <c r="HL50" s="239" t="str">
        <f t="shared" si="741"/>
        <v>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België</v>
      </c>
      <c r="HX50" s="240">
        <f t="shared" si="77"/>
        <v>21</v>
      </c>
      <c r="HY50" s="239" t="str">
        <f t="shared" si="745"/>
        <v>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België</v>
      </c>
      <c r="IK50" s="240">
        <f t="shared" si="80"/>
        <v>21</v>
      </c>
      <c r="IL50" s="239" t="str">
        <f t="shared" si="749"/>
        <v>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België</v>
      </c>
      <c r="IX50" s="240">
        <f t="shared" si="83"/>
        <v>21</v>
      </c>
      <c r="IY50" s="239" t="str">
        <f t="shared" si="753"/>
        <v>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België</v>
      </c>
      <c r="JK50" s="240">
        <f t="shared" si="86"/>
        <v>21</v>
      </c>
      <c r="JL50" s="239" t="str">
        <f t="shared" si="757"/>
        <v>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België</v>
      </c>
      <c r="JX50" s="240">
        <f t="shared" si="89"/>
        <v>21</v>
      </c>
      <c r="JY50" s="239" t="str">
        <f t="shared" si="761"/>
        <v>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België</v>
      </c>
      <c r="KK50" s="240">
        <f t="shared" si="92"/>
        <v>21</v>
      </c>
      <c r="KL50" s="239" t="str">
        <f t="shared" si="765"/>
        <v>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België</v>
      </c>
      <c r="KX50" s="240">
        <f t="shared" si="95"/>
        <v>21</v>
      </c>
      <c r="KY50" s="239" t="str">
        <f t="shared" si="769"/>
        <v>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België</v>
      </c>
      <c r="LK50" s="240">
        <f t="shared" si="98"/>
        <v>21</v>
      </c>
      <c r="LL50" s="239" t="str">
        <f t="shared" si="773"/>
        <v>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België</v>
      </c>
      <c r="LX50" s="240">
        <f t="shared" si="101"/>
        <v>21</v>
      </c>
      <c r="LY50" s="239" t="str">
        <f t="shared" si="777"/>
        <v>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0"/>
        <v>85</v>
      </c>
      <c r="J51" s="239" t="str">
        <f t="shared" si="676"/>
        <v>Nieuw-Zeeland</v>
      </c>
      <c r="K51" s="240">
        <f t="shared" si="26"/>
        <v>29</v>
      </c>
      <c r="L51" s="239" t="str">
        <f t="shared" si="677"/>
        <v>Egypte</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Nieuw-Zeeland</v>
      </c>
      <c r="X51" s="240">
        <f t="shared" si="29"/>
        <v>29</v>
      </c>
      <c r="Y51" s="239" t="str">
        <f t="shared" si="681"/>
        <v>Egypte</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Nieuw-Zeeland</v>
      </c>
      <c r="AK51" s="240">
        <f t="shared" si="32"/>
        <v>29</v>
      </c>
      <c r="AL51" s="239" t="str">
        <f t="shared" si="685"/>
        <v>Egypte</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Nieuw-Zeeland</v>
      </c>
      <c r="AX51" s="240">
        <f t="shared" si="35"/>
        <v>29</v>
      </c>
      <c r="AY51" s="239" t="str">
        <f t="shared" si="689"/>
        <v>Egypte</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Nieuw-Zeeland</v>
      </c>
      <c r="BK51" s="240">
        <f t="shared" si="38"/>
        <v>29</v>
      </c>
      <c r="BL51" s="239" t="str">
        <f t="shared" si="693"/>
        <v>Egypte</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Nieuw-Zeeland</v>
      </c>
      <c r="BX51" s="240">
        <f t="shared" si="41"/>
        <v>29</v>
      </c>
      <c r="BY51" s="239" t="str">
        <f t="shared" si="697"/>
        <v>Egypte</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Nieuw-Zeeland</v>
      </c>
      <c r="CK51" s="240">
        <f t="shared" si="44"/>
        <v>29</v>
      </c>
      <c r="CL51" s="239" t="str">
        <f t="shared" si="701"/>
        <v>Egypte</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Nieuw-Zeeland</v>
      </c>
      <c r="CX51" s="240">
        <f t="shared" si="47"/>
        <v>29</v>
      </c>
      <c r="CY51" s="239" t="str">
        <f t="shared" si="705"/>
        <v>Egypte</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Nieuw-Zeeland</v>
      </c>
      <c r="DK51" s="240">
        <f t="shared" si="50"/>
        <v>29</v>
      </c>
      <c r="DL51" s="239" t="str">
        <f t="shared" si="709"/>
        <v>Egypte</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Nieuw-Zeeland</v>
      </c>
      <c r="DX51" s="240">
        <f t="shared" si="53"/>
        <v>29</v>
      </c>
      <c r="DY51" s="239" t="str">
        <f t="shared" si="713"/>
        <v>Egypte</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Nieuw-Zeeland</v>
      </c>
      <c r="EK51" s="240">
        <f t="shared" si="56"/>
        <v>29</v>
      </c>
      <c r="EL51" s="239" t="str">
        <f t="shared" si="717"/>
        <v>Egypte</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Nieuw-Zeeland</v>
      </c>
      <c r="EX51" s="240">
        <f t="shared" si="59"/>
        <v>29</v>
      </c>
      <c r="EY51" s="239" t="str">
        <f t="shared" si="721"/>
        <v>Egypte</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Nieuw-Zeeland</v>
      </c>
      <c r="FK51" s="240">
        <f t="shared" si="62"/>
        <v>29</v>
      </c>
      <c r="FL51" s="239" t="str">
        <f t="shared" si="725"/>
        <v>Egypte</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Nieuw-Zeeland</v>
      </c>
      <c r="FX51" s="240">
        <f t="shared" si="65"/>
        <v>29</v>
      </c>
      <c r="FY51" s="239" t="str">
        <f t="shared" si="729"/>
        <v>Egypte</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Nieuw-Zeeland</v>
      </c>
      <c r="GK51" s="240">
        <f t="shared" si="68"/>
        <v>29</v>
      </c>
      <c r="GL51" s="239" t="str">
        <f t="shared" si="733"/>
        <v>Egypte</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Nieuw-Zeeland</v>
      </c>
      <c r="GX51" s="240">
        <f t="shared" si="71"/>
        <v>29</v>
      </c>
      <c r="GY51" s="239" t="str">
        <f t="shared" si="737"/>
        <v>Egypte</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Nieuw-Zeeland</v>
      </c>
      <c r="HK51" s="240">
        <f t="shared" si="74"/>
        <v>29</v>
      </c>
      <c r="HL51" s="239" t="str">
        <f t="shared" si="741"/>
        <v>Egypte</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Nieuw-Zeeland</v>
      </c>
      <c r="HX51" s="240">
        <f t="shared" si="77"/>
        <v>29</v>
      </c>
      <c r="HY51" s="239" t="str">
        <f t="shared" si="745"/>
        <v>Egypte</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Nieuw-Zeeland</v>
      </c>
      <c r="IK51" s="240">
        <f t="shared" si="80"/>
        <v>29</v>
      </c>
      <c r="IL51" s="239" t="str">
        <f t="shared" si="749"/>
        <v>Egypte</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Nieuw-Zeeland</v>
      </c>
      <c r="IX51" s="240">
        <f t="shared" si="83"/>
        <v>29</v>
      </c>
      <c r="IY51" s="239" t="str">
        <f t="shared" si="753"/>
        <v>Egypte</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Nieuw-Zeeland</v>
      </c>
      <c r="JK51" s="240">
        <f t="shared" si="86"/>
        <v>29</v>
      </c>
      <c r="JL51" s="239" t="str">
        <f t="shared" si="757"/>
        <v>Egypte</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Nieuw-Zeeland</v>
      </c>
      <c r="JX51" s="240">
        <f t="shared" si="89"/>
        <v>29</v>
      </c>
      <c r="JY51" s="239" t="str">
        <f t="shared" si="761"/>
        <v>Egypte</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Nieuw-Zeeland</v>
      </c>
      <c r="KK51" s="240">
        <f t="shared" si="92"/>
        <v>29</v>
      </c>
      <c r="KL51" s="239" t="str">
        <f t="shared" si="765"/>
        <v>Egypte</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Nieuw-Zeeland</v>
      </c>
      <c r="KX51" s="240">
        <f t="shared" si="95"/>
        <v>29</v>
      </c>
      <c r="KY51" s="239" t="str">
        <f t="shared" si="769"/>
        <v>Egypte</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Nieuw-Zeeland</v>
      </c>
      <c r="LK51" s="240">
        <f t="shared" si="98"/>
        <v>29</v>
      </c>
      <c r="LL51" s="239" t="str">
        <f t="shared" si="773"/>
        <v>Egypte</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Nieuw-Zeeland</v>
      </c>
      <c r="LX51" s="240">
        <f t="shared" si="101"/>
        <v>29</v>
      </c>
      <c r="LY51" s="239" t="str">
        <f t="shared" si="777"/>
        <v>Egypte</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t="str">
        <f>CalcG!$R$26</f>
        <v/>
      </c>
      <c r="G52" s="242" t="str">
        <f>CalcG!$S$26</f>
        <v/>
      </c>
      <c r="I52" s="238">
        <f t="shared" si="0"/>
        <v>29</v>
      </c>
      <c r="J52" s="239" t="str">
        <f t="shared" si="676"/>
        <v>Egypte</v>
      </c>
      <c r="K52" s="240">
        <f t="shared" si="26"/>
        <v>21</v>
      </c>
      <c r="L52" s="239" t="str">
        <f t="shared" si="677"/>
        <v>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Egypte</v>
      </c>
      <c r="X52" s="240">
        <f t="shared" si="29"/>
        <v>21</v>
      </c>
      <c r="Y52" s="239" t="str">
        <f t="shared" si="681"/>
        <v>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Egypte</v>
      </c>
      <c r="AK52" s="240">
        <f t="shared" si="32"/>
        <v>21</v>
      </c>
      <c r="AL52" s="239" t="str">
        <f t="shared" si="685"/>
        <v>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Egypte</v>
      </c>
      <c r="AX52" s="240">
        <f t="shared" si="35"/>
        <v>21</v>
      </c>
      <c r="AY52" s="239" t="str">
        <f t="shared" si="689"/>
        <v>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Egypte</v>
      </c>
      <c r="BK52" s="240">
        <f t="shared" si="38"/>
        <v>21</v>
      </c>
      <c r="BL52" s="239" t="str">
        <f t="shared" si="693"/>
        <v>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Egypte</v>
      </c>
      <c r="BX52" s="240">
        <f t="shared" si="41"/>
        <v>21</v>
      </c>
      <c r="BY52" s="239" t="str">
        <f t="shared" si="697"/>
        <v>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Egypte</v>
      </c>
      <c r="CK52" s="240">
        <f t="shared" si="44"/>
        <v>21</v>
      </c>
      <c r="CL52" s="239" t="str">
        <f t="shared" si="701"/>
        <v>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Egypte</v>
      </c>
      <c r="CX52" s="240">
        <f t="shared" si="47"/>
        <v>21</v>
      </c>
      <c r="CY52" s="239" t="str">
        <f t="shared" si="705"/>
        <v>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Egypte</v>
      </c>
      <c r="DK52" s="240">
        <f t="shared" si="50"/>
        <v>21</v>
      </c>
      <c r="DL52" s="239" t="str">
        <f t="shared" si="709"/>
        <v>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Egypte</v>
      </c>
      <c r="DX52" s="240">
        <f t="shared" si="53"/>
        <v>21</v>
      </c>
      <c r="DY52" s="239" t="str">
        <f t="shared" si="713"/>
        <v>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Egypte</v>
      </c>
      <c r="EK52" s="240">
        <f t="shared" si="56"/>
        <v>21</v>
      </c>
      <c r="EL52" s="239" t="str">
        <f t="shared" si="717"/>
        <v>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Egypte</v>
      </c>
      <c r="EX52" s="240">
        <f t="shared" si="59"/>
        <v>21</v>
      </c>
      <c r="EY52" s="239" t="str">
        <f t="shared" si="721"/>
        <v>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Egypte</v>
      </c>
      <c r="FK52" s="240">
        <f t="shared" si="62"/>
        <v>21</v>
      </c>
      <c r="FL52" s="239" t="str">
        <f t="shared" si="725"/>
        <v>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Egypte</v>
      </c>
      <c r="FX52" s="240">
        <f t="shared" si="65"/>
        <v>21</v>
      </c>
      <c r="FY52" s="239" t="str">
        <f t="shared" si="729"/>
        <v>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Egypte</v>
      </c>
      <c r="GK52" s="240">
        <f t="shared" si="68"/>
        <v>21</v>
      </c>
      <c r="GL52" s="239" t="str">
        <f t="shared" si="733"/>
        <v>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Egypte</v>
      </c>
      <c r="GX52" s="240">
        <f t="shared" si="71"/>
        <v>21</v>
      </c>
      <c r="GY52" s="239" t="str">
        <f t="shared" si="737"/>
        <v>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Egypte</v>
      </c>
      <c r="HK52" s="240">
        <f t="shared" si="74"/>
        <v>21</v>
      </c>
      <c r="HL52" s="239" t="str">
        <f t="shared" si="741"/>
        <v>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Egypte</v>
      </c>
      <c r="HX52" s="240">
        <f t="shared" si="77"/>
        <v>21</v>
      </c>
      <c r="HY52" s="239" t="str">
        <f t="shared" si="745"/>
        <v>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Egypte</v>
      </c>
      <c r="IK52" s="240">
        <f t="shared" si="80"/>
        <v>21</v>
      </c>
      <c r="IL52" s="239" t="str">
        <f t="shared" si="749"/>
        <v>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Egypte</v>
      </c>
      <c r="IX52" s="240">
        <f t="shared" si="83"/>
        <v>21</v>
      </c>
      <c r="IY52" s="239" t="str">
        <f t="shared" si="753"/>
        <v>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Egypte</v>
      </c>
      <c r="JK52" s="240">
        <f t="shared" si="86"/>
        <v>21</v>
      </c>
      <c r="JL52" s="239" t="str">
        <f t="shared" si="757"/>
        <v>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Egypte</v>
      </c>
      <c r="JX52" s="240">
        <f t="shared" si="89"/>
        <v>21</v>
      </c>
      <c r="JY52" s="239" t="str">
        <f t="shared" si="761"/>
        <v>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Egypte</v>
      </c>
      <c r="KK52" s="240">
        <f t="shared" si="92"/>
        <v>21</v>
      </c>
      <c r="KL52" s="239" t="str">
        <f t="shared" si="765"/>
        <v>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Egypte</v>
      </c>
      <c r="KX52" s="240">
        <f t="shared" si="95"/>
        <v>21</v>
      </c>
      <c r="KY52" s="239" t="str">
        <f t="shared" si="769"/>
        <v>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Egypte</v>
      </c>
      <c r="LK52" s="240">
        <f t="shared" si="98"/>
        <v>21</v>
      </c>
      <c r="LL52" s="239" t="str">
        <f t="shared" si="773"/>
        <v>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Egypte</v>
      </c>
      <c r="LX52" s="240">
        <f t="shared" si="101"/>
        <v>21</v>
      </c>
      <c r="LY52" s="239" t="str">
        <f t="shared" si="777"/>
        <v>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0"/>
        <v>85</v>
      </c>
      <c r="J53" s="239" t="str">
        <f t="shared" si="676"/>
        <v>Nieuw-Zeeland</v>
      </c>
      <c r="K53" s="240">
        <f t="shared" si="26"/>
        <v>9</v>
      </c>
      <c r="L53" s="239" t="str">
        <f t="shared" si="677"/>
        <v>België</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Nieuw-Zeeland</v>
      </c>
      <c r="X53" s="240">
        <f t="shared" si="29"/>
        <v>9</v>
      </c>
      <c r="Y53" s="239" t="str">
        <f t="shared" si="681"/>
        <v>België</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Nieuw-Zeeland</v>
      </c>
      <c r="AK53" s="240">
        <f t="shared" si="32"/>
        <v>9</v>
      </c>
      <c r="AL53" s="239" t="str">
        <f t="shared" si="685"/>
        <v>België</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Nieuw-Zeeland</v>
      </c>
      <c r="AX53" s="240">
        <f t="shared" si="35"/>
        <v>9</v>
      </c>
      <c r="AY53" s="239" t="str">
        <f t="shared" si="689"/>
        <v>België</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Nieuw-Zeeland</v>
      </c>
      <c r="BK53" s="240">
        <f t="shared" si="38"/>
        <v>9</v>
      </c>
      <c r="BL53" s="239" t="str">
        <f t="shared" si="693"/>
        <v>België</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Nieuw-Zeeland</v>
      </c>
      <c r="BX53" s="240">
        <f t="shared" si="41"/>
        <v>9</v>
      </c>
      <c r="BY53" s="239" t="str">
        <f t="shared" si="697"/>
        <v>België</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Nieuw-Zeeland</v>
      </c>
      <c r="CK53" s="240">
        <f t="shared" si="44"/>
        <v>9</v>
      </c>
      <c r="CL53" s="239" t="str">
        <f t="shared" si="701"/>
        <v>België</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Nieuw-Zeeland</v>
      </c>
      <c r="CX53" s="240">
        <f t="shared" si="47"/>
        <v>9</v>
      </c>
      <c r="CY53" s="239" t="str">
        <f t="shared" si="705"/>
        <v>België</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Nieuw-Zeeland</v>
      </c>
      <c r="DK53" s="240">
        <f t="shared" si="50"/>
        <v>9</v>
      </c>
      <c r="DL53" s="239" t="str">
        <f t="shared" si="709"/>
        <v>België</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Nieuw-Zeeland</v>
      </c>
      <c r="DX53" s="240">
        <f t="shared" si="53"/>
        <v>9</v>
      </c>
      <c r="DY53" s="239" t="str">
        <f t="shared" si="713"/>
        <v>België</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Nieuw-Zeeland</v>
      </c>
      <c r="EK53" s="240">
        <f t="shared" si="56"/>
        <v>9</v>
      </c>
      <c r="EL53" s="239" t="str">
        <f t="shared" si="717"/>
        <v>België</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Nieuw-Zeeland</v>
      </c>
      <c r="EX53" s="240">
        <f t="shared" si="59"/>
        <v>9</v>
      </c>
      <c r="EY53" s="239" t="str">
        <f t="shared" si="721"/>
        <v>België</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Nieuw-Zeeland</v>
      </c>
      <c r="FK53" s="240">
        <f t="shared" si="62"/>
        <v>9</v>
      </c>
      <c r="FL53" s="239" t="str">
        <f t="shared" si="725"/>
        <v>België</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Nieuw-Zeeland</v>
      </c>
      <c r="FX53" s="240">
        <f t="shared" si="65"/>
        <v>9</v>
      </c>
      <c r="FY53" s="239" t="str">
        <f t="shared" si="729"/>
        <v>België</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Nieuw-Zeeland</v>
      </c>
      <c r="GK53" s="240">
        <f t="shared" si="68"/>
        <v>9</v>
      </c>
      <c r="GL53" s="239" t="str">
        <f t="shared" si="733"/>
        <v>België</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Nieuw-Zeeland</v>
      </c>
      <c r="GX53" s="240">
        <f t="shared" si="71"/>
        <v>9</v>
      </c>
      <c r="GY53" s="239" t="str">
        <f t="shared" si="737"/>
        <v>België</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Nieuw-Zeeland</v>
      </c>
      <c r="HK53" s="240">
        <f t="shared" si="74"/>
        <v>9</v>
      </c>
      <c r="HL53" s="239" t="str">
        <f t="shared" si="741"/>
        <v>België</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Nieuw-Zeeland</v>
      </c>
      <c r="HX53" s="240">
        <f t="shared" si="77"/>
        <v>9</v>
      </c>
      <c r="HY53" s="239" t="str">
        <f t="shared" si="745"/>
        <v>België</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Nieuw-Zeeland</v>
      </c>
      <c r="IK53" s="240">
        <f t="shared" si="80"/>
        <v>9</v>
      </c>
      <c r="IL53" s="239" t="str">
        <f t="shared" si="749"/>
        <v>België</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Nieuw-Zeeland</v>
      </c>
      <c r="IX53" s="240">
        <f t="shared" si="83"/>
        <v>9</v>
      </c>
      <c r="IY53" s="239" t="str">
        <f t="shared" si="753"/>
        <v>België</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Nieuw-Zeeland</v>
      </c>
      <c r="JK53" s="240">
        <f t="shared" si="86"/>
        <v>9</v>
      </c>
      <c r="JL53" s="239" t="str">
        <f t="shared" si="757"/>
        <v>België</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Nieuw-Zeeland</v>
      </c>
      <c r="JX53" s="240">
        <f t="shared" si="89"/>
        <v>9</v>
      </c>
      <c r="JY53" s="239" t="str">
        <f t="shared" si="761"/>
        <v>België</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Nieuw-Zeeland</v>
      </c>
      <c r="KK53" s="240">
        <f t="shared" si="92"/>
        <v>9</v>
      </c>
      <c r="KL53" s="239" t="str">
        <f t="shared" si="765"/>
        <v>België</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Nieuw-Zeeland</v>
      </c>
      <c r="KX53" s="240">
        <f t="shared" si="95"/>
        <v>9</v>
      </c>
      <c r="KY53" s="239" t="str">
        <f t="shared" si="769"/>
        <v>België</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Nieuw-Zeeland</v>
      </c>
      <c r="LK53" s="240">
        <f t="shared" si="98"/>
        <v>9</v>
      </c>
      <c r="LL53" s="239" t="str">
        <f t="shared" si="773"/>
        <v>België</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Nieuw-Zeeland</v>
      </c>
      <c r="LX53" s="240">
        <f t="shared" si="101"/>
        <v>9</v>
      </c>
      <c r="LY53" s="239" t="str">
        <f t="shared" si="777"/>
        <v>België</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0"/>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0"/>
        <v>2</v>
      </c>
      <c r="J55" s="239" t="str">
        <f t="shared" ref="J55:J60" si="780">$C55</f>
        <v>Spanje</v>
      </c>
      <c r="K55" s="240">
        <f t="shared" si="26"/>
        <v>69</v>
      </c>
      <c r="L55" s="239" t="str">
        <f t="shared" ref="L55:L60" si="781">$E55</f>
        <v>Kaapverdië</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Spanje</v>
      </c>
      <c r="X55" s="240">
        <f t="shared" si="29"/>
        <v>69</v>
      </c>
      <c r="Y55" s="239" t="str">
        <f t="shared" ref="Y55:Y60" si="785">$E55</f>
        <v>Kaapverdië</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Spanje</v>
      </c>
      <c r="AK55" s="240">
        <f t="shared" si="32"/>
        <v>69</v>
      </c>
      <c r="AL55" s="239" t="str">
        <f t="shared" ref="AL55:AL60" si="789">$E55</f>
        <v>Kaapverdië</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Spanje</v>
      </c>
      <c r="AX55" s="240">
        <f t="shared" si="35"/>
        <v>69</v>
      </c>
      <c r="AY55" s="239" t="str">
        <f t="shared" ref="AY55:AY60" si="793">$E55</f>
        <v>Kaapverdië</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Spanje</v>
      </c>
      <c r="BK55" s="240">
        <f t="shared" si="38"/>
        <v>69</v>
      </c>
      <c r="BL55" s="239" t="str">
        <f t="shared" ref="BL55:BL60" si="797">$E55</f>
        <v>Kaapverdië</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Spanje</v>
      </c>
      <c r="BX55" s="240">
        <f t="shared" si="41"/>
        <v>69</v>
      </c>
      <c r="BY55" s="239" t="str">
        <f t="shared" ref="BY55:BY60" si="801">$E55</f>
        <v>Kaapverdië</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Spanje</v>
      </c>
      <c r="CK55" s="240">
        <f t="shared" si="44"/>
        <v>69</v>
      </c>
      <c r="CL55" s="239" t="str">
        <f t="shared" ref="CL55:CL60" si="805">$E55</f>
        <v>Kaapverdië</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Spanje</v>
      </c>
      <c r="CX55" s="240">
        <f t="shared" si="47"/>
        <v>69</v>
      </c>
      <c r="CY55" s="239" t="str">
        <f t="shared" ref="CY55:CY60" si="809">$E55</f>
        <v>Kaapverdië</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Spanje</v>
      </c>
      <c r="DK55" s="240">
        <f t="shared" si="50"/>
        <v>69</v>
      </c>
      <c r="DL55" s="239" t="str">
        <f t="shared" ref="DL55:DL60" si="813">$E55</f>
        <v>Kaapverdië</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Spanje</v>
      </c>
      <c r="DX55" s="240">
        <f t="shared" si="53"/>
        <v>69</v>
      </c>
      <c r="DY55" s="239" t="str">
        <f t="shared" ref="DY55:DY60" si="817">$E55</f>
        <v>Kaapverdië</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Spanje</v>
      </c>
      <c r="EK55" s="240">
        <f t="shared" si="56"/>
        <v>69</v>
      </c>
      <c r="EL55" s="239" t="str">
        <f t="shared" ref="EL55:EL60" si="821">$E55</f>
        <v>Kaapverdië</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Spanje</v>
      </c>
      <c r="EX55" s="240">
        <f t="shared" si="59"/>
        <v>69</v>
      </c>
      <c r="EY55" s="239" t="str">
        <f t="shared" ref="EY55:EY60" si="825">$E55</f>
        <v>Kaapverdië</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Spanje</v>
      </c>
      <c r="FK55" s="240">
        <f t="shared" si="62"/>
        <v>69</v>
      </c>
      <c r="FL55" s="239" t="str">
        <f t="shared" ref="FL55:FL60" si="829">$E55</f>
        <v>Kaapverdië</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Spanje</v>
      </c>
      <c r="FX55" s="240">
        <f t="shared" si="65"/>
        <v>69</v>
      </c>
      <c r="FY55" s="239" t="str">
        <f t="shared" ref="FY55:FY60" si="833">$E55</f>
        <v>Kaapverdië</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Spanje</v>
      </c>
      <c r="GK55" s="240">
        <f t="shared" si="68"/>
        <v>69</v>
      </c>
      <c r="GL55" s="239" t="str">
        <f t="shared" ref="GL55:GL60" si="837">$E55</f>
        <v>Kaapverdië</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Spanje</v>
      </c>
      <c r="GX55" s="240">
        <f t="shared" si="71"/>
        <v>69</v>
      </c>
      <c r="GY55" s="239" t="str">
        <f t="shared" ref="GY55:GY60" si="841">$E55</f>
        <v>Kaapverdië</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Spanje</v>
      </c>
      <c r="HK55" s="240">
        <f t="shared" si="74"/>
        <v>69</v>
      </c>
      <c r="HL55" s="239" t="str">
        <f t="shared" ref="HL55:HL60" si="845">$E55</f>
        <v>Kaapverdië</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Spanje</v>
      </c>
      <c r="HX55" s="240">
        <f t="shared" si="77"/>
        <v>69</v>
      </c>
      <c r="HY55" s="239" t="str">
        <f t="shared" ref="HY55:HY60" si="849">$E55</f>
        <v>Kaapverdië</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Spanje</v>
      </c>
      <c r="IK55" s="240">
        <f t="shared" si="80"/>
        <v>69</v>
      </c>
      <c r="IL55" s="239" t="str">
        <f t="shared" ref="IL55:IL60" si="853">$E55</f>
        <v>Kaapverdië</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Spanje</v>
      </c>
      <c r="IX55" s="240">
        <f t="shared" si="83"/>
        <v>69</v>
      </c>
      <c r="IY55" s="239" t="str">
        <f t="shared" ref="IY55:IY60" si="857">$E55</f>
        <v>Kaapverdië</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Spanje</v>
      </c>
      <c r="JK55" s="240">
        <f t="shared" si="86"/>
        <v>69</v>
      </c>
      <c r="JL55" s="239" t="str">
        <f t="shared" ref="JL55:JL60" si="861">$E55</f>
        <v>Kaapverdië</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Spanje</v>
      </c>
      <c r="JX55" s="240">
        <f t="shared" si="89"/>
        <v>69</v>
      </c>
      <c r="JY55" s="239" t="str">
        <f t="shared" ref="JY55:JY60" si="865">$E55</f>
        <v>Kaapverdië</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Spanje</v>
      </c>
      <c r="KK55" s="240">
        <f t="shared" si="92"/>
        <v>69</v>
      </c>
      <c r="KL55" s="239" t="str">
        <f t="shared" ref="KL55:KL60" si="869">$E55</f>
        <v>Kaapverdië</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Spanje</v>
      </c>
      <c r="KX55" s="240">
        <f t="shared" si="95"/>
        <v>69</v>
      </c>
      <c r="KY55" s="239" t="str">
        <f t="shared" ref="KY55:KY60" si="873">$E55</f>
        <v>Kaapverdië</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Spanje</v>
      </c>
      <c r="LK55" s="240">
        <f t="shared" si="98"/>
        <v>69</v>
      </c>
      <c r="LL55" s="239" t="str">
        <f t="shared" ref="LL55:LL60" si="877">$E55</f>
        <v>Kaapverdië</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Spanje</v>
      </c>
      <c r="LX55" s="240">
        <f t="shared" si="101"/>
        <v>69</v>
      </c>
      <c r="LY55" s="239" t="str">
        <f t="shared" ref="LY55:LY60" si="881">$E55</f>
        <v>Kaapverdië</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0"/>
        <v>61</v>
      </c>
      <c r="J56" s="239" t="str">
        <f t="shared" si="780"/>
        <v>Saoedi-Arabië</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Saoedi-Arabië</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Saoedi-Arabië</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Saoedi-Arabië</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Saoedi-Arabië</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Saoedi-Arabië</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Saoedi-Arabië</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Saoedi-Arabië</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Saoedi-Arabië</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Saoedi-Arabië</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Saoedi-Arabië</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Saoedi-Arabië</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Saoedi-Arabië</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Saoedi-Arabië</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Saoedi-Arabië</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Saoedi-Arabië</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Saoedi-Arabië</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Saoedi-Arabië</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Saoedi-Arabië</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Saoedi-Arabië</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Saoedi-Arabië</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Saoedi-Arabië</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Saoedi-Arabië</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Saoedi-Arabië</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Saoedi-Arabië</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Saoedi-Arabië</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0"/>
        <v>2</v>
      </c>
      <c r="J57" s="239" t="str">
        <f t="shared" si="780"/>
        <v>Spanje</v>
      </c>
      <c r="K57" s="240">
        <f t="shared" si="26"/>
        <v>61</v>
      </c>
      <c r="L57" s="239" t="str">
        <f t="shared" si="781"/>
        <v>Saoedi-Arabië</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Spanje</v>
      </c>
      <c r="X57" s="240">
        <f t="shared" si="29"/>
        <v>61</v>
      </c>
      <c r="Y57" s="239" t="str">
        <f t="shared" si="785"/>
        <v>Saoedi-Arabië</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Spanje</v>
      </c>
      <c r="AK57" s="240">
        <f t="shared" si="32"/>
        <v>61</v>
      </c>
      <c r="AL57" s="239" t="str">
        <f t="shared" si="789"/>
        <v>Saoedi-Arabië</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Spanje</v>
      </c>
      <c r="AX57" s="240">
        <f t="shared" si="35"/>
        <v>61</v>
      </c>
      <c r="AY57" s="239" t="str">
        <f t="shared" si="793"/>
        <v>Saoedi-Arabië</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Spanje</v>
      </c>
      <c r="BK57" s="240">
        <f t="shared" si="38"/>
        <v>61</v>
      </c>
      <c r="BL57" s="239" t="str">
        <f t="shared" si="797"/>
        <v>Saoedi-Arabië</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Spanje</v>
      </c>
      <c r="BX57" s="240">
        <f t="shared" si="41"/>
        <v>61</v>
      </c>
      <c r="BY57" s="239" t="str">
        <f t="shared" si="801"/>
        <v>Saoedi-Arabië</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Spanje</v>
      </c>
      <c r="CK57" s="240">
        <f t="shared" si="44"/>
        <v>61</v>
      </c>
      <c r="CL57" s="239" t="str">
        <f t="shared" si="805"/>
        <v>Saoedi-Arabië</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Spanje</v>
      </c>
      <c r="CX57" s="240">
        <f t="shared" si="47"/>
        <v>61</v>
      </c>
      <c r="CY57" s="239" t="str">
        <f t="shared" si="809"/>
        <v>Saoedi-Arabië</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Spanje</v>
      </c>
      <c r="DK57" s="240">
        <f t="shared" si="50"/>
        <v>61</v>
      </c>
      <c r="DL57" s="239" t="str">
        <f t="shared" si="813"/>
        <v>Saoedi-Arabië</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Spanje</v>
      </c>
      <c r="DX57" s="240">
        <f t="shared" si="53"/>
        <v>61</v>
      </c>
      <c r="DY57" s="239" t="str">
        <f t="shared" si="817"/>
        <v>Saoedi-Arabië</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Spanje</v>
      </c>
      <c r="EK57" s="240">
        <f t="shared" si="56"/>
        <v>61</v>
      </c>
      <c r="EL57" s="239" t="str">
        <f t="shared" si="821"/>
        <v>Saoedi-Arabië</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Spanje</v>
      </c>
      <c r="EX57" s="240">
        <f t="shared" si="59"/>
        <v>61</v>
      </c>
      <c r="EY57" s="239" t="str">
        <f t="shared" si="825"/>
        <v>Saoedi-Arabië</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Spanje</v>
      </c>
      <c r="FK57" s="240">
        <f t="shared" si="62"/>
        <v>61</v>
      </c>
      <c r="FL57" s="239" t="str">
        <f t="shared" si="829"/>
        <v>Saoedi-Arabië</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Spanje</v>
      </c>
      <c r="FX57" s="240">
        <f t="shared" si="65"/>
        <v>61</v>
      </c>
      <c r="FY57" s="239" t="str">
        <f t="shared" si="833"/>
        <v>Saoedi-Arabië</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Spanje</v>
      </c>
      <c r="GK57" s="240">
        <f t="shared" si="68"/>
        <v>61</v>
      </c>
      <c r="GL57" s="239" t="str">
        <f t="shared" si="837"/>
        <v>Saoedi-Arabië</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Spanje</v>
      </c>
      <c r="GX57" s="240">
        <f t="shared" si="71"/>
        <v>61</v>
      </c>
      <c r="GY57" s="239" t="str">
        <f t="shared" si="841"/>
        <v>Saoedi-Arabië</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Spanje</v>
      </c>
      <c r="HK57" s="240">
        <f t="shared" si="74"/>
        <v>61</v>
      </c>
      <c r="HL57" s="239" t="str">
        <f t="shared" si="845"/>
        <v>Saoedi-Arabië</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Spanje</v>
      </c>
      <c r="HX57" s="240">
        <f t="shared" si="77"/>
        <v>61</v>
      </c>
      <c r="HY57" s="239" t="str">
        <f t="shared" si="849"/>
        <v>Saoedi-Arabië</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Spanje</v>
      </c>
      <c r="IK57" s="240">
        <f t="shared" si="80"/>
        <v>61</v>
      </c>
      <c r="IL57" s="239" t="str">
        <f t="shared" si="853"/>
        <v>Saoedi-Arabië</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Spanje</v>
      </c>
      <c r="IX57" s="240">
        <f t="shared" si="83"/>
        <v>61</v>
      </c>
      <c r="IY57" s="239" t="str">
        <f t="shared" si="857"/>
        <v>Saoedi-Arabië</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Spanje</v>
      </c>
      <c r="JK57" s="240">
        <f t="shared" si="86"/>
        <v>61</v>
      </c>
      <c r="JL57" s="239" t="str">
        <f t="shared" si="861"/>
        <v>Saoedi-Arabië</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Spanje</v>
      </c>
      <c r="JX57" s="240">
        <f t="shared" si="89"/>
        <v>61</v>
      </c>
      <c r="JY57" s="239" t="str">
        <f t="shared" si="865"/>
        <v>Saoedi-Arabië</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Spanje</v>
      </c>
      <c r="KK57" s="240">
        <f t="shared" si="92"/>
        <v>61</v>
      </c>
      <c r="KL57" s="239" t="str">
        <f t="shared" si="869"/>
        <v>Saoedi-Arabië</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Spanje</v>
      </c>
      <c r="KX57" s="240">
        <f t="shared" si="95"/>
        <v>61</v>
      </c>
      <c r="KY57" s="239" t="str">
        <f t="shared" si="873"/>
        <v>Saoedi-Arabië</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Spanje</v>
      </c>
      <c r="LK57" s="240">
        <f t="shared" si="98"/>
        <v>61</v>
      </c>
      <c r="LL57" s="239" t="str">
        <f t="shared" si="877"/>
        <v>Saoedi-Arabië</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Spanje</v>
      </c>
      <c r="LX57" s="240">
        <f t="shared" si="101"/>
        <v>61</v>
      </c>
      <c r="LY57" s="239" t="str">
        <f t="shared" si="881"/>
        <v>Saoedi-Arabië</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0"/>
        <v>17</v>
      </c>
      <c r="J58" s="239" t="str">
        <f t="shared" si="780"/>
        <v>Uruguay</v>
      </c>
      <c r="K58" s="240">
        <f t="shared" si="26"/>
        <v>69</v>
      </c>
      <c r="L58" s="239" t="str">
        <f t="shared" si="781"/>
        <v>Kaapverdië</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Kaapverdië</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Kaapverdië</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Kaapverdië</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Kaapverdië</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Kaapverdië</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Kaapverdië</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Kaapverdië</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Kaapverdië</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Kaapverdië</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Kaapverdië</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Kaapverdië</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Kaapverdië</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Kaapverdië</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Kaapverdië</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Kaapverdië</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Kaapverdië</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Kaapverdië</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Kaapverdië</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Kaapverdië</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Kaapverdië</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Kaapverdië</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Kaapverdië</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Kaapverdië</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Kaapverdië</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Kaapverdië</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0"/>
        <v>69</v>
      </c>
      <c r="J59" s="239" t="str">
        <f t="shared" si="780"/>
        <v>Kaapverdië</v>
      </c>
      <c r="K59" s="240">
        <f t="shared" si="26"/>
        <v>61</v>
      </c>
      <c r="L59" s="239" t="str">
        <f t="shared" si="781"/>
        <v>Saoedi-Arabië</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Kaapverdië</v>
      </c>
      <c r="X59" s="240">
        <f t="shared" si="29"/>
        <v>61</v>
      </c>
      <c r="Y59" s="239" t="str">
        <f t="shared" si="785"/>
        <v>Saoedi-Arabië</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Kaapverdië</v>
      </c>
      <c r="AK59" s="240">
        <f t="shared" si="32"/>
        <v>61</v>
      </c>
      <c r="AL59" s="239" t="str">
        <f t="shared" si="789"/>
        <v>Saoedi-Arabië</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Kaapverdië</v>
      </c>
      <c r="AX59" s="240">
        <f t="shared" si="35"/>
        <v>61</v>
      </c>
      <c r="AY59" s="239" t="str">
        <f t="shared" si="793"/>
        <v>Saoedi-Arabië</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Kaapverdië</v>
      </c>
      <c r="BK59" s="240">
        <f t="shared" si="38"/>
        <v>61</v>
      </c>
      <c r="BL59" s="239" t="str">
        <f t="shared" si="797"/>
        <v>Saoedi-Arabië</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Kaapverdië</v>
      </c>
      <c r="BX59" s="240">
        <f t="shared" si="41"/>
        <v>61</v>
      </c>
      <c r="BY59" s="239" t="str">
        <f t="shared" si="801"/>
        <v>Saoedi-Arabië</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Kaapverdië</v>
      </c>
      <c r="CK59" s="240">
        <f t="shared" si="44"/>
        <v>61</v>
      </c>
      <c r="CL59" s="239" t="str">
        <f t="shared" si="805"/>
        <v>Saoedi-Arabië</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Kaapverdië</v>
      </c>
      <c r="CX59" s="240">
        <f t="shared" si="47"/>
        <v>61</v>
      </c>
      <c r="CY59" s="239" t="str">
        <f t="shared" si="809"/>
        <v>Saoedi-Arabië</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Kaapverdië</v>
      </c>
      <c r="DK59" s="240">
        <f t="shared" si="50"/>
        <v>61</v>
      </c>
      <c r="DL59" s="239" t="str">
        <f t="shared" si="813"/>
        <v>Saoedi-Arabië</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Kaapverdië</v>
      </c>
      <c r="DX59" s="240">
        <f t="shared" si="53"/>
        <v>61</v>
      </c>
      <c r="DY59" s="239" t="str">
        <f t="shared" si="817"/>
        <v>Saoedi-Arabië</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Kaapverdië</v>
      </c>
      <c r="EK59" s="240">
        <f t="shared" si="56"/>
        <v>61</v>
      </c>
      <c r="EL59" s="239" t="str">
        <f t="shared" si="821"/>
        <v>Saoedi-Arabië</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Kaapverdië</v>
      </c>
      <c r="EX59" s="240">
        <f t="shared" si="59"/>
        <v>61</v>
      </c>
      <c r="EY59" s="239" t="str">
        <f t="shared" si="825"/>
        <v>Saoedi-Arabië</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Kaapverdië</v>
      </c>
      <c r="FK59" s="240">
        <f t="shared" si="62"/>
        <v>61</v>
      </c>
      <c r="FL59" s="239" t="str">
        <f t="shared" si="829"/>
        <v>Saoedi-Arabië</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Kaapverdië</v>
      </c>
      <c r="FX59" s="240">
        <f t="shared" si="65"/>
        <v>61</v>
      </c>
      <c r="FY59" s="239" t="str">
        <f t="shared" si="833"/>
        <v>Saoedi-Arabië</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Kaapverdië</v>
      </c>
      <c r="GK59" s="240">
        <f t="shared" si="68"/>
        <v>61</v>
      </c>
      <c r="GL59" s="239" t="str">
        <f t="shared" si="837"/>
        <v>Saoedi-Arabië</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Kaapverdië</v>
      </c>
      <c r="GX59" s="240">
        <f t="shared" si="71"/>
        <v>61</v>
      </c>
      <c r="GY59" s="239" t="str">
        <f t="shared" si="841"/>
        <v>Saoedi-Arabië</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Kaapverdië</v>
      </c>
      <c r="HK59" s="240">
        <f t="shared" si="74"/>
        <v>61</v>
      </c>
      <c r="HL59" s="239" t="str">
        <f t="shared" si="845"/>
        <v>Saoedi-Arabië</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Kaapverdië</v>
      </c>
      <c r="HX59" s="240">
        <f t="shared" si="77"/>
        <v>61</v>
      </c>
      <c r="HY59" s="239" t="str">
        <f t="shared" si="849"/>
        <v>Saoedi-Arabië</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Kaapverdië</v>
      </c>
      <c r="IK59" s="240">
        <f t="shared" si="80"/>
        <v>61</v>
      </c>
      <c r="IL59" s="239" t="str">
        <f t="shared" si="853"/>
        <v>Saoedi-Arabië</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Kaapverdië</v>
      </c>
      <c r="IX59" s="240">
        <f t="shared" si="83"/>
        <v>61</v>
      </c>
      <c r="IY59" s="239" t="str">
        <f t="shared" si="857"/>
        <v>Saoedi-Arabië</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Kaapverdië</v>
      </c>
      <c r="JK59" s="240">
        <f t="shared" si="86"/>
        <v>61</v>
      </c>
      <c r="JL59" s="239" t="str">
        <f t="shared" si="861"/>
        <v>Saoedi-Arabië</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Kaapverdië</v>
      </c>
      <c r="JX59" s="240">
        <f t="shared" si="89"/>
        <v>61</v>
      </c>
      <c r="JY59" s="239" t="str">
        <f t="shared" si="865"/>
        <v>Saoedi-Arabië</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Kaapverdië</v>
      </c>
      <c r="KK59" s="240">
        <f t="shared" si="92"/>
        <v>61</v>
      </c>
      <c r="KL59" s="239" t="str">
        <f t="shared" si="869"/>
        <v>Saoedi-Arabië</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Kaapverdië</v>
      </c>
      <c r="KX59" s="240">
        <f t="shared" si="95"/>
        <v>61</v>
      </c>
      <c r="KY59" s="239" t="str">
        <f t="shared" si="873"/>
        <v>Saoedi-Arabië</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Kaapverdië</v>
      </c>
      <c r="LK59" s="240">
        <f t="shared" si="98"/>
        <v>61</v>
      </c>
      <c r="LL59" s="239" t="str">
        <f t="shared" si="877"/>
        <v>Saoedi-Arabië</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Kaapverdië</v>
      </c>
      <c r="LX59" s="240">
        <f t="shared" si="101"/>
        <v>61</v>
      </c>
      <c r="LY59" s="239" t="str">
        <f t="shared" si="881"/>
        <v>Saoedi-Arabië</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0"/>
        <v>17</v>
      </c>
      <c r="J60" s="239" t="str">
        <f t="shared" si="780"/>
        <v>Uruguay</v>
      </c>
      <c r="K60" s="240">
        <f t="shared" si="26"/>
        <v>2</v>
      </c>
      <c r="L60" s="239" t="str">
        <f t="shared" si="781"/>
        <v>Spanje</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Spanje</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Spanje</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Spanje</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Spanje</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Spanje</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Spanje</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Spanje</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Spanje</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Spanje</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Spanje</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Spanje</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Spanje</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Spanje</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Spanje</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Spanje</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Spanje</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Spanje</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Spanje</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Spanje</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Spanje</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Spanje</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Spanje</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Spanje</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Spanje</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Spanje</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0"/>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0"/>
        <v>1</v>
      </c>
      <c r="J62" s="239" t="str">
        <f t="shared" ref="J62:J67" si="884">$C62</f>
        <v>Frankrijk</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Frankrijk</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Frankrijk</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Frankrijk</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Frankrijk</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Frankrijk</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Frankrijk</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Frankrijk</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Frankrijk</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Frankrijk</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Frankrijk</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Frankrijk</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Frankrijk</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Frankrijk</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Frankrijk</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Frankrijk</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Frankrijk</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Frankrijk</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Frankrijk</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Frankrijk</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Frankrijk</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Frankrijk</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Frankrijk</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Frankrijk</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Frankrijk</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Frankrijk</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0"/>
        <v>57</v>
      </c>
      <c r="J63" s="239" t="str">
        <f t="shared" si="884"/>
        <v>Irak</v>
      </c>
      <c r="K63" s="240">
        <f t="shared" si="26"/>
        <v>31</v>
      </c>
      <c r="L63" s="239" t="str">
        <f t="shared" si="885"/>
        <v>Noorwegen</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Irak</v>
      </c>
      <c r="X63" s="240">
        <f t="shared" si="29"/>
        <v>31</v>
      </c>
      <c r="Y63" s="239" t="str">
        <f t="shared" si="889"/>
        <v>Noorwegen</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Irak</v>
      </c>
      <c r="AK63" s="240">
        <f t="shared" si="32"/>
        <v>31</v>
      </c>
      <c r="AL63" s="239" t="str">
        <f t="shared" si="893"/>
        <v>Noorwegen</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Irak</v>
      </c>
      <c r="AX63" s="240">
        <f t="shared" si="35"/>
        <v>31</v>
      </c>
      <c r="AY63" s="239" t="str">
        <f t="shared" si="897"/>
        <v>Noorwegen</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Irak</v>
      </c>
      <c r="BK63" s="240">
        <f t="shared" si="38"/>
        <v>31</v>
      </c>
      <c r="BL63" s="239" t="str">
        <f t="shared" si="901"/>
        <v>Noorwegen</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Irak</v>
      </c>
      <c r="BX63" s="240">
        <f t="shared" si="41"/>
        <v>31</v>
      </c>
      <c r="BY63" s="239" t="str">
        <f t="shared" si="905"/>
        <v>Noorwegen</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Irak</v>
      </c>
      <c r="CK63" s="240">
        <f t="shared" si="44"/>
        <v>31</v>
      </c>
      <c r="CL63" s="239" t="str">
        <f t="shared" si="909"/>
        <v>Noorwegen</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Irak</v>
      </c>
      <c r="CX63" s="240">
        <f t="shared" si="47"/>
        <v>31</v>
      </c>
      <c r="CY63" s="239" t="str">
        <f t="shared" si="913"/>
        <v>Noorwegen</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Irak</v>
      </c>
      <c r="DK63" s="240">
        <f t="shared" si="50"/>
        <v>31</v>
      </c>
      <c r="DL63" s="239" t="str">
        <f t="shared" si="917"/>
        <v>Noorwegen</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Irak</v>
      </c>
      <c r="DX63" s="240">
        <f t="shared" si="53"/>
        <v>31</v>
      </c>
      <c r="DY63" s="239" t="str">
        <f t="shared" si="921"/>
        <v>Noorwegen</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Irak</v>
      </c>
      <c r="EK63" s="240">
        <f t="shared" si="56"/>
        <v>31</v>
      </c>
      <c r="EL63" s="239" t="str">
        <f t="shared" si="925"/>
        <v>Noorwegen</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Irak</v>
      </c>
      <c r="EX63" s="240">
        <f t="shared" si="59"/>
        <v>31</v>
      </c>
      <c r="EY63" s="239" t="str">
        <f t="shared" si="929"/>
        <v>Noorwegen</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Irak</v>
      </c>
      <c r="FK63" s="240">
        <f t="shared" si="62"/>
        <v>31</v>
      </c>
      <c r="FL63" s="239" t="str">
        <f t="shared" si="933"/>
        <v>Noorwegen</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Irak</v>
      </c>
      <c r="FX63" s="240">
        <f t="shared" si="65"/>
        <v>31</v>
      </c>
      <c r="FY63" s="239" t="str">
        <f t="shared" si="937"/>
        <v>Noorwegen</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Irak</v>
      </c>
      <c r="GK63" s="240">
        <f t="shared" si="68"/>
        <v>31</v>
      </c>
      <c r="GL63" s="239" t="str">
        <f t="shared" si="941"/>
        <v>Noorwegen</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Irak</v>
      </c>
      <c r="GX63" s="240">
        <f t="shared" si="71"/>
        <v>31</v>
      </c>
      <c r="GY63" s="239" t="str">
        <f t="shared" si="945"/>
        <v>Noorwegen</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Irak</v>
      </c>
      <c r="HK63" s="240">
        <f t="shared" si="74"/>
        <v>31</v>
      </c>
      <c r="HL63" s="239" t="str">
        <f t="shared" si="949"/>
        <v>Noorwegen</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Irak</v>
      </c>
      <c r="HX63" s="240">
        <f t="shared" si="77"/>
        <v>31</v>
      </c>
      <c r="HY63" s="239" t="str">
        <f t="shared" si="953"/>
        <v>Noorwegen</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Irak</v>
      </c>
      <c r="IK63" s="240">
        <f t="shared" si="80"/>
        <v>31</v>
      </c>
      <c r="IL63" s="239" t="str">
        <f t="shared" si="957"/>
        <v>Noorwegen</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Irak</v>
      </c>
      <c r="IX63" s="240">
        <f t="shared" si="83"/>
        <v>31</v>
      </c>
      <c r="IY63" s="239" t="str">
        <f t="shared" si="961"/>
        <v>Noorwegen</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Irak</v>
      </c>
      <c r="JK63" s="240">
        <f t="shared" si="86"/>
        <v>31</v>
      </c>
      <c r="JL63" s="239" t="str">
        <f t="shared" si="965"/>
        <v>Noorwegen</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Irak</v>
      </c>
      <c r="JX63" s="240">
        <f t="shared" si="89"/>
        <v>31</v>
      </c>
      <c r="JY63" s="239" t="str">
        <f t="shared" si="969"/>
        <v>Noorwegen</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Irak</v>
      </c>
      <c r="KK63" s="240">
        <f t="shared" si="92"/>
        <v>31</v>
      </c>
      <c r="KL63" s="239" t="str">
        <f t="shared" si="973"/>
        <v>Noorwegen</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Irak</v>
      </c>
      <c r="KX63" s="240">
        <f t="shared" si="95"/>
        <v>31</v>
      </c>
      <c r="KY63" s="239" t="str">
        <f t="shared" si="977"/>
        <v>Noorwegen</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Irak</v>
      </c>
      <c r="LK63" s="240">
        <f t="shared" si="98"/>
        <v>31</v>
      </c>
      <c r="LL63" s="239" t="str">
        <f t="shared" si="981"/>
        <v>Noorwegen</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Irak</v>
      </c>
      <c r="LX63" s="240">
        <f t="shared" si="101"/>
        <v>31</v>
      </c>
      <c r="LY63" s="239" t="str">
        <f t="shared" si="985"/>
        <v>Noorwegen</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0"/>
        <v>1</v>
      </c>
      <c r="J64" s="239" t="str">
        <f t="shared" si="884"/>
        <v>Frankrijk</v>
      </c>
      <c r="K64" s="240">
        <f t="shared" si="26"/>
        <v>57</v>
      </c>
      <c r="L64" s="239" t="str">
        <f t="shared" si="885"/>
        <v>Irak</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Frankrijk</v>
      </c>
      <c r="X64" s="240">
        <f t="shared" si="29"/>
        <v>57</v>
      </c>
      <c r="Y64" s="239" t="str">
        <f t="shared" si="889"/>
        <v>Irak</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Frankrijk</v>
      </c>
      <c r="AK64" s="240">
        <f t="shared" si="32"/>
        <v>57</v>
      </c>
      <c r="AL64" s="239" t="str">
        <f t="shared" si="893"/>
        <v>Irak</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Frankrijk</v>
      </c>
      <c r="AX64" s="240">
        <f t="shared" si="35"/>
        <v>57</v>
      </c>
      <c r="AY64" s="239" t="str">
        <f t="shared" si="897"/>
        <v>Irak</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Frankrijk</v>
      </c>
      <c r="BK64" s="240">
        <f t="shared" si="38"/>
        <v>57</v>
      </c>
      <c r="BL64" s="239" t="str">
        <f t="shared" si="901"/>
        <v>Irak</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Frankrijk</v>
      </c>
      <c r="BX64" s="240">
        <f t="shared" si="41"/>
        <v>57</v>
      </c>
      <c r="BY64" s="239" t="str">
        <f t="shared" si="905"/>
        <v>Irak</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Frankrijk</v>
      </c>
      <c r="CK64" s="240">
        <f t="shared" si="44"/>
        <v>57</v>
      </c>
      <c r="CL64" s="239" t="str">
        <f t="shared" si="909"/>
        <v>Irak</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Frankrijk</v>
      </c>
      <c r="CX64" s="240">
        <f t="shared" si="47"/>
        <v>57</v>
      </c>
      <c r="CY64" s="239" t="str">
        <f t="shared" si="913"/>
        <v>Irak</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Frankrijk</v>
      </c>
      <c r="DK64" s="240">
        <f t="shared" si="50"/>
        <v>57</v>
      </c>
      <c r="DL64" s="239" t="str">
        <f t="shared" si="917"/>
        <v>Irak</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Frankrijk</v>
      </c>
      <c r="DX64" s="240">
        <f t="shared" si="53"/>
        <v>57</v>
      </c>
      <c r="DY64" s="239" t="str">
        <f t="shared" si="921"/>
        <v>Irak</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Frankrijk</v>
      </c>
      <c r="EK64" s="240">
        <f t="shared" si="56"/>
        <v>57</v>
      </c>
      <c r="EL64" s="239" t="str">
        <f t="shared" si="925"/>
        <v>Irak</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Frankrijk</v>
      </c>
      <c r="EX64" s="240">
        <f t="shared" si="59"/>
        <v>57</v>
      </c>
      <c r="EY64" s="239" t="str">
        <f t="shared" si="929"/>
        <v>Irak</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Frankrijk</v>
      </c>
      <c r="FK64" s="240">
        <f t="shared" si="62"/>
        <v>57</v>
      </c>
      <c r="FL64" s="239" t="str">
        <f t="shared" si="933"/>
        <v>Irak</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Frankrijk</v>
      </c>
      <c r="FX64" s="240">
        <f t="shared" si="65"/>
        <v>57</v>
      </c>
      <c r="FY64" s="239" t="str">
        <f t="shared" si="937"/>
        <v>Irak</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Frankrijk</v>
      </c>
      <c r="GK64" s="240">
        <f t="shared" si="68"/>
        <v>57</v>
      </c>
      <c r="GL64" s="239" t="str">
        <f t="shared" si="941"/>
        <v>Irak</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Frankrijk</v>
      </c>
      <c r="GX64" s="240">
        <f t="shared" si="71"/>
        <v>57</v>
      </c>
      <c r="GY64" s="239" t="str">
        <f t="shared" si="945"/>
        <v>Irak</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Frankrijk</v>
      </c>
      <c r="HK64" s="240">
        <f t="shared" si="74"/>
        <v>57</v>
      </c>
      <c r="HL64" s="239" t="str">
        <f t="shared" si="949"/>
        <v>Irak</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Frankrijk</v>
      </c>
      <c r="HX64" s="240">
        <f t="shared" si="77"/>
        <v>57</v>
      </c>
      <c r="HY64" s="239" t="str">
        <f t="shared" si="953"/>
        <v>Irak</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Frankrijk</v>
      </c>
      <c r="IK64" s="240">
        <f t="shared" si="80"/>
        <v>57</v>
      </c>
      <c r="IL64" s="239" t="str">
        <f t="shared" si="957"/>
        <v>Irak</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Frankrijk</v>
      </c>
      <c r="IX64" s="240">
        <f t="shared" si="83"/>
        <v>57</v>
      </c>
      <c r="IY64" s="239" t="str">
        <f t="shared" si="961"/>
        <v>Irak</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Frankrijk</v>
      </c>
      <c r="JK64" s="240">
        <f t="shared" si="86"/>
        <v>57</v>
      </c>
      <c r="JL64" s="239" t="str">
        <f t="shared" si="965"/>
        <v>Irak</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Frankrijk</v>
      </c>
      <c r="JX64" s="240">
        <f t="shared" si="89"/>
        <v>57</v>
      </c>
      <c r="JY64" s="239" t="str">
        <f t="shared" si="969"/>
        <v>Irak</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Frankrijk</v>
      </c>
      <c r="KK64" s="240">
        <f t="shared" si="92"/>
        <v>57</v>
      </c>
      <c r="KL64" s="239" t="str">
        <f t="shared" si="973"/>
        <v>Irak</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Frankrijk</v>
      </c>
      <c r="KX64" s="240">
        <f t="shared" si="95"/>
        <v>57</v>
      </c>
      <c r="KY64" s="239" t="str">
        <f t="shared" si="977"/>
        <v>Irak</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Frankrijk</v>
      </c>
      <c r="LK64" s="240">
        <f t="shared" si="98"/>
        <v>57</v>
      </c>
      <c r="LL64" s="239" t="str">
        <f t="shared" si="981"/>
        <v>Irak</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Frankrijk</v>
      </c>
      <c r="LX64" s="240">
        <f t="shared" si="101"/>
        <v>57</v>
      </c>
      <c r="LY64" s="239" t="str">
        <f t="shared" si="985"/>
        <v>Irak</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0"/>
        <v>31</v>
      </c>
      <c r="J65" s="239" t="str">
        <f t="shared" si="884"/>
        <v>Noorwegen</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Noorwegen</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Noorwegen</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Noorwegen</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Noorwegen</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Noorwegen</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Noorwegen</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Noorwegen</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Noorwegen</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Noorwegen</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Noorwegen</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Noorwegen</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Noorwegen</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Noorwegen</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Noorwegen</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Noorwegen</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Noorwegen</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Noorwegen</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Noorwegen</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Noorwegen</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Noorwegen</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Noorwegen</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Noorwegen</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Noorwegen</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Noorwegen</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Noorwegen</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0"/>
        <v>31</v>
      </c>
      <c r="J66" s="239" t="str">
        <f t="shared" si="884"/>
        <v>Noorwegen</v>
      </c>
      <c r="K66" s="240">
        <f t="shared" si="26"/>
        <v>1</v>
      </c>
      <c r="L66" s="239" t="str">
        <f t="shared" si="885"/>
        <v>Frankrijk</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Noorwegen</v>
      </c>
      <c r="X66" s="240">
        <f t="shared" si="29"/>
        <v>1</v>
      </c>
      <c r="Y66" s="239" t="str">
        <f t="shared" si="889"/>
        <v>Frankrijk</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Noorwegen</v>
      </c>
      <c r="AK66" s="240">
        <f t="shared" si="32"/>
        <v>1</v>
      </c>
      <c r="AL66" s="239" t="str">
        <f t="shared" si="893"/>
        <v>Frankrijk</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Noorwegen</v>
      </c>
      <c r="AX66" s="240">
        <f t="shared" si="35"/>
        <v>1</v>
      </c>
      <c r="AY66" s="239" t="str">
        <f t="shared" si="897"/>
        <v>Frankrijk</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Noorwegen</v>
      </c>
      <c r="BK66" s="240">
        <f t="shared" si="38"/>
        <v>1</v>
      </c>
      <c r="BL66" s="239" t="str">
        <f t="shared" si="901"/>
        <v>Frankrijk</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Noorwegen</v>
      </c>
      <c r="BX66" s="240">
        <f t="shared" si="41"/>
        <v>1</v>
      </c>
      <c r="BY66" s="239" t="str">
        <f t="shared" si="905"/>
        <v>Frankrijk</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Noorwegen</v>
      </c>
      <c r="CK66" s="240">
        <f t="shared" si="44"/>
        <v>1</v>
      </c>
      <c r="CL66" s="239" t="str">
        <f t="shared" si="909"/>
        <v>Frankrijk</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Noorwegen</v>
      </c>
      <c r="CX66" s="240">
        <f t="shared" si="47"/>
        <v>1</v>
      </c>
      <c r="CY66" s="239" t="str">
        <f t="shared" si="913"/>
        <v>Frankrijk</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Noorwegen</v>
      </c>
      <c r="DK66" s="240">
        <f t="shared" si="50"/>
        <v>1</v>
      </c>
      <c r="DL66" s="239" t="str">
        <f t="shared" si="917"/>
        <v>Frankrijk</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Noorwegen</v>
      </c>
      <c r="DX66" s="240">
        <f t="shared" si="53"/>
        <v>1</v>
      </c>
      <c r="DY66" s="239" t="str">
        <f t="shared" si="921"/>
        <v>Frankrijk</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Noorwegen</v>
      </c>
      <c r="EK66" s="240">
        <f t="shared" si="56"/>
        <v>1</v>
      </c>
      <c r="EL66" s="239" t="str">
        <f t="shared" si="925"/>
        <v>Frankrijk</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Noorwegen</v>
      </c>
      <c r="EX66" s="240">
        <f t="shared" si="59"/>
        <v>1</v>
      </c>
      <c r="EY66" s="239" t="str">
        <f t="shared" si="929"/>
        <v>Frankrijk</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Noorwegen</v>
      </c>
      <c r="FK66" s="240">
        <f t="shared" si="62"/>
        <v>1</v>
      </c>
      <c r="FL66" s="239" t="str">
        <f t="shared" si="933"/>
        <v>Frankrijk</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Noorwegen</v>
      </c>
      <c r="FX66" s="240">
        <f t="shared" si="65"/>
        <v>1</v>
      </c>
      <c r="FY66" s="239" t="str">
        <f t="shared" si="937"/>
        <v>Frankrijk</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Noorwegen</v>
      </c>
      <c r="GK66" s="240">
        <f t="shared" si="68"/>
        <v>1</v>
      </c>
      <c r="GL66" s="239" t="str">
        <f t="shared" si="941"/>
        <v>Frankrijk</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Noorwegen</v>
      </c>
      <c r="GX66" s="240">
        <f t="shared" si="71"/>
        <v>1</v>
      </c>
      <c r="GY66" s="239" t="str">
        <f t="shared" si="945"/>
        <v>Frankrijk</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Noorwegen</v>
      </c>
      <c r="HK66" s="240">
        <f t="shared" si="74"/>
        <v>1</v>
      </c>
      <c r="HL66" s="239" t="str">
        <f t="shared" si="949"/>
        <v>Frankrijk</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Noorwegen</v>
      </c>
      <c r="HX66" s="240">
        <f t="shared" si="77"/>
        <v>1</v>
      </c>
      <c r="HY66" s="239" t="str">
        <f t="shared" si="953"/>
        <v>Frankrijk</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Noorwegen</v>
      </c>
      <c r="IK66" s="240">
        <f t="shared" si="80"/>
        <v>1</v>
      </c>
      <c r="IL66" s="239" t="str">
        <f t="shared" si="957"/>
        <v>Frankrijk</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Noorwegen</v>
      </c>
      <c r="IX66" s="240">
        <f t="shared" si="83"/>
        <v>1</v>
      </c>
      <c r="IY66" s="239" t="str">
        <f t="shared" si="961"/>
        <v>Frankrijk</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Noorwegen</v>
      </c>
      <c r="JK66" s="240">
        <f t="shared" si="86"/>
        <v>1</v>
      </c>
      <c r="JL66" s="239" t="str">
        <f t="shared" si="965"/>
        <v>Frankrijk</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Noorwegen</v>
      </c>
      <c r="JX66" s="240">
        <f t="shared" si="89"/>
        <v>1</v>
      </c>
      <c r="JY66" s="239" t="str">
        <f t="shared" si="969"/>
        <v>Frankrijk</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Noorwegen</v>
      </c>
      <c r="KK66" s="240">
        <f t="shared" si="92"/>
        <v>1</v>
      </c>
      <c r="KL66" s="239" t="str">
        <f t="shared" si="973"/>
        <v>Frankrijk</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Noorwegen</v>
      </c>
      <c r="KX66" s="240">
        <f t="shared" si="95"/>
        <v>1</v>
      </c>
      <c r="KY66" s="239" t="str">
        <f t="shared" si="977"/>
        <v>Frankrijk</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Noorwegen</v>
      </c>
      <c r="LK66" s="240">
        <f t="shared" si="98"/>
        <v>1</v>
      </c>
      <c r="LL66" s="239" t="str">
        <f t="shared" si="981"/>
        <v>Frankrijk</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Noorwegen</v>
      </c>
      <c r="LX66" s="240">
        <f t="shared" si="101"/>
        <v>1</v>
      </c>
      <c r="LY66" s="239" t="str">
        <f t="shared" si="985"/>
        <v>Frankrijk</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0"/>
        <v>14</v>
      </c>
      <c r="J67" s="239" t="str">
        <f t="shared" si="884"/>
        <v>Senegal</v>
      </c>
      <c r="K67" s="240">
        <f t="shared" si="26"/>
        <v>57</v>
      </c>
      <c r="L67" s="239" t="str">
        <f t="shared" si="885"/>
        <v>Irak</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Irak</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Irak</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Irak</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Irak</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Irak</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Irak</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Irak</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Irak</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Irak</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Irak</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Irak</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Irak</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Irak</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Irak</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Irak</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Irak</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Irak</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Irak</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Irak</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Irak</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Irak</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Irak</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Irak</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Irak</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Irak</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0"/>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ref="I69:I88" si="988">$B69</f>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98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98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98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98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98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98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98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98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98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98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98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98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98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98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98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98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98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63"/>
      <c r="R89" s="250"/>
      <c r="S89" s="250"/>
      <c r="T89" s="264"/>
      <c r="V89" s="247" t="str">
        <f t="shared" ref="V89:V106" si="1405">$B89</f>
        <v>Zestiende finale</v>
      </c>
      <c r="W89" s="249"/>
      <c r="X89" s="249"/>
      <c r="Y89" s="250"/>
      <c r="Z89" s="279"/>
      <c r="AA89" s="280"/>
      <c r="AB89" s="251"/>
      <c r="AC89" s="263"/>
      <c r="AD89" s="263"/>
      <c r="AE89" s="250"/>
      <c r="AF89" s="250"/>
      <c r="AG89" s="264"/>
      <c r="AI89" s="247" t="str">
        <f t="shared" ref="AI89:AI106" si="1406">$B89</f>
        <v>Zestiende finale</v>
      </c>
      <c r="AJ89" s="249"/>
      <c r="AK89" s="249"/>
      <c r="AL89" s="250"/>
      <c r="AM89" s="279"/>
      <c r="AN89" s="280"/>
      <c r="AO89" s="251"/>
      <c r="AP89" s="263"/>
      <c r="AQ89" s="263"/>
      <c r="AR89" s="250"/>
      <c r="AS89" s="250"/>
      <c r="AT89" s="264"/>
      <c r="AV89" s="247" t="str">
        <f t="shared" ref="AV89:AV106" si="1407">$B89</f>
        <v>Zestiende finale</v>
      </c>
      <c r="AW89" s="249"/>
      <c r="AX89" s="249"/>
      <c r="AY89" s="250"/>
      <c r="AZ89" s="279"/>
      <c r="BA89" s="280"/>
      <c r="BB89" s="251"/>
      <c r="BC89" s="263"/>
      <c r="BD89" s="263"/>
      <c r="BE89" s="250"/>
      <c r="BF89" s="250"/>
      <c r="BG89" s="264"/>
      <c r="BI89" s="247" t="str">
        <f t="shared" ref="BI89:BI106" si="1408">$B89</f>
        <v>Zestiende finale</v>
      </c>
      <c r="BJ89" s="249"/>
      <c r="BK89" s="249"/>
      <c r="BL89" s="250"/>
      <c r="BM89" s="279"/>
      <c r="BN89" s="280"/>
      <c r="BO89" s="251"/>
      <c r="BP89" s="263"/>
      <c r="BQ89" s="263"/>
      <c r="BR89" s="250"/>
      <c r="BS89" s="250"/>
      <c r="BT89" s="264"/>
      <c r="BV89" s="247" t="str">
        <f t="shared" ref="BV89:BV106" si="1409">$B89</f>
        <v>Zestiende finale</v>
      </c>
      <c r="BW89" s="249"/>
      <c r="BX89" s="249"/>
      <c r="BY89" s="250"/>
      <c r="BZ89" s="279"/>
      <c r="CA89" s="280"/>
      <c r="CB89" s="251"/>
      <c r="CC89" s="263"/>
      <c r="CD89" s="263"/>
      <c r="CE89" s="250"/>
      <c r="CF89" s="250"/>
      <c r="CG89" s="264"/>
      <c r="CI89" s="247" t="str">
        <f t="shared" ref="CI89:CI106" si="1410">$B89</f>
        <v>Zestiende finale</v>
      </c>
      <c r="CJ89" s="249"/>
      <c r="CK89" s="249"/>
      <c r="CL89" s="250"/>
      <c r="CM89" s="279"/>
      <c r="CN89" s="280"/>
      <c r="CO89" s="251"/>
      <c r="CP89" s="263"/>
      <c r="CQ89" s="263"/>
      <c r="CR89" s="250"/>
      <c r="CS89" s="250"/>
      <c r="CT89" s="264"/>
      <c r="CV89" s="247" t="str">
        <f t="shared" ref="CV89:CV106" si="1411">$B89</f>
        <v>Zestiende finale</v>
      </c>
      <c r="CW89" s="249"/>
      <c r="CX89" s="249"/>
      <c r="CY89" s="250"/>
      <c r="CZ89" s="279"/>
      <c r="DA89" s="280"/>
      <c r="DB89" s="251"/>
      <c r="DC89" s="263"/>
      <c r="DD89" s="263"/>
      <c r="DE89" s="250"/>
      <c r="DF89" s="250"/>
      <c r="DG89" s="264"/>
      <c r="DI89" s="247" t="str">
        <f t="shared" ref="DI89:DI106" si="1412">$B89</f>
        <v>Zestiende finale</v>
      </c>
      <c r="DJ89" s="249"/>
      <c r="DK89" s="249"/>
      <c r="DL89" s="250"/>
      <c r="DM89" s="279"/>
      <c r="DN89" s="280"/>
      <c r="DO89" s="251"/>
      <c r="DP89" s="263"/>
      <c r="DQ89" s="263"/>
      <c r="DR89" s="250"/>
      <c r="DS89" s="250"/>
      <c r="DT89" s="264"/>
      <c r="DV89" s="247" t="str">
        <f t="shared" ref="DV89:DV106" si="1413">$B89</f>
        <v>Zestiende finale</v>
      </c>
      <c r="DW89" s="249"/>
      <c r="DX89" s="249"/>
      <c r="DY89" s="250"/>
      <c r="DZ89" s="279"/>
      <c r="EA89" s="280"/>
      <c r="EB89" s="251"/>
      <c r="EC89" s="263"/>
      <c r="ED89" s="263"/>
      <c r="EE89" s="250"/>
      <c r="EF89" s="250"/>
      <c r="EG89" s="264"/>
      <c r="EI89" s="247" t="str">
        <f t="shared" ref="EI89:EI106" si="1414">$B89</f>
        <v>Zestiende finale</v>
      </c>
      <c r="EJ89" s="249"/>
      <c r="EK89" s="249"/>
      <c r="EL89" s="250"/>
      <c r="EM89" s="279"/>
      <c r="EN89" s="280"/>
      <c r="EO89" s="251"/>
      <c r="EP89" s="263"/>
      <c r="EQ89" s="263"/>
      <c r="ER89" s="250"/>
      <c r="ES89" s="250"/>
      <c r="ET89" s="264"/>
      <c r="EV89" s="247" t="str">
        <f t="shared" ref="EV89:EV106" si="1415">$B89</f>
        <v>Zestiende finale</v>
      </c>
      <c r="EW89" s="249"/>
      <c r="EX89" s="249"/>
      <c r="EY89" s="250"/>
      <c r="EZ89" s="279"/>
      <c r="FA89" s="280"/>
      <c r="FB89" s="251"/>
      <c r="FC89" s="263"/>
      <c r="FD89" s="263"/>
      <c r="FE89" s="250"/>
      <c r="FF89" s="250"/>
      <c r="FG89" s="264"/>
      <c r="FI89" s="247" t="str">
        <f t="shared" ref="FI89:FI106" si="1416">$B89</f>
        <v>Zestiende finale</v>
      </c>
      <c r="FJ89" s="249"/>
      <c r="FK89" s="249"/>
      <c r="FL89" s="250"/>
      <c r="FM89" s="279"/>
      <c r="FN89" s="280"/>
      <c r="FO89" s="251"/>
      <c r="FP89" s="263"/>
      <c r="FQ89" s="263"/>
      <c r="FR89" s="250"/>
      <c r="FS89" s="250"/>
      <c r="FT89" s="264"/>
      <c r="FV89" s="247" t="str">
        <f t="shared" ref="FV89:FV106" si="1417">$B89</f>
        <v>Zestiende finale</v>
      </c>
      <c r="FW89" s="249"/>
      <c r="FX89" s="249"/>
      <c r="FY89" s="250"/>
      <c r="FZ89" s="279"/>
      <c r="GA89" s="280"/>
      <c r="GB89" s="251"/>
      <c r="GC89" s="263"/>
      <c r="GD89" s="263"/>
      <c r="GE89" s="250"/>
      <c r="GF89" s="250"/>
      <c r="GG89" s="264"/>
      <c r="GI89" s="247" t="str">
        <f t="shared" ref="GI89:GI106" si="1418">$B89</f>
        <v>Zestiende finale</v>
      </c>
      <c r="GJ89" s="249"/>
      <c r="GK89" s="249"/>
      <c r="GL89" s="250"/>
      <c r="GM89" s="279"/>
      <c r="GN89" s="280"/>
      <c r="GO89" s="251"/>
      <c r="GP89" s="263"/>
      <c r="GQ89" s="263"/>
      <c r="GR89" s="250"/>
      <c r="GS89" s="250"/>
      <c r="GT89" s="264"/>
      <c r="GV89" s="247" t="str">
        <f t="shared" ref="GV89:GV106" si="1419">$B89</f>
        <v>Zestiende finale</v>
      </c>
      <c r="GW89" s="249"/>
      <c r="GX89" s="249"/>
      <c r="GY89" s="250"/>
      <c r="GZ89" s="279"/>
      <c r="HA89" s="280"/>
      <c r="HB89" s="251"/>
      <c r="HC89" s="263"/>
      <c r="HD89" s="263"/>
      <c r="HE89" s="250"/>
      <c r="HF89" s="250"/>
      <c r="HG89" s="264"/>
      <c r="HI89" s="247" t="str">
        <f t="shared" ref="HI89:HI106" si="1420">$B89</f>
        <v>Zestiende finale</v>
      </c>
      <c r="HJ89" s="249"/>
      <c r="HK89" s="249"/>
      <c r="HL89" s="250"/>
      <c r="HM89" s="279"/>
      <c r="HN89" s="280"/>
      <c r="HO89" s="251"/>
      <c r="HP89" s="263"/>
      <c r="HQ89" s="263"/>
      <c r="HR89" s="250"/>
      <c r="HS89" s="250"/>
      <c r="HT89" s="264"/>
      <c r="HV89" s="247" t="str">
        <f t="shared" ref="HV89:HV106" si="1421">$B89</f>
        <v>Zestiende finale</v>
      </c>
      <c r="HW89" s="249"/>
      <c r="HX89" s="249"/>
      <c r="HY89" s="250"/>
      <c r="HZ89" s="279"/>
      <c r="IA89" s="280"/>
      <c r="IB89" s="251"/>
      <c r="IC89" s="263"/>
      <c r="ID89" s="263"/>
      <c r="IE89" s="250"/>
      <c r="IF89" s="250"/>
      <c r="IG89" s="264"/>
      <c r="II89" s="247" t="str">
        <f t="shared" ref="II89:II106" si="1422">$B89</f>
        <v>Zestiende finale</v>
      </c>
      <c r="IJ89" s="249"/>
      <c r="IK89" s="249"/>
      <c r="IL89" s="250"/>
      <c r="IM89" s="279"/>
      <c r="IN89" s="280"/>
      <c r="IO89" s="251"/>
      <c r="IP89" s="263"/>
      <c r="IQ89" s="263"/>
      <c r="IR89" s="250"/>
      <c r="IS89" s="250"/>
      <c r="IT89" s="264"/>
      <c r="IV89" s="247" t="str">
        <f t="shared" ref="IV89:IV106" si="1423">$B89</f>
        <v>Zestiende finale</v>
      </c>
      <c r="IW89" s="249"/>
      <c r="IX89" s="249"/>
      <c r="IY89" s="250"/>
      <c r="IZ89" s="279"/>
      <c r="JA89" s="280"/>
      <c r="JB89" s="251"/>
      <c r="JC89" s="263"/>
      <c r="JD89" s="263"/>
      <c r="JE89" s="250"/>
      <c r="JF89" s="250"/>
      <c r="JG89" s="264"/>
      <c r="JI89" s="247" t="str">
        <f t="shared" ref="JI89:JI106" si="1424">$B89</f>
        <v>Zestiende finale</v>
      </c>
      <c r="JJ89" s="249"/>
      <c r="JK89" s="249"/>
      <c r="JL89" s="250"/>
      <c r="JM89" s="279"/>
      <c r="JN89" s="280"/>
      <c r="JO89" s="251"/>
      <c r="JP89" s="263"/>
      <c r="JQ89" s="263"/>
      <c r="JR89" s="250"/>
      <c r="JS89" s="250"/>
      <c r="JT89" s="264"/>
      <c r="JV89" s="247" t="str">
        <f t="shared" ref="JV89:JV106" si="1425">$B89</f>
        <v>Zestiende finale</v>
      </c>
      <c r="JW89" s="249"/>
      <c r="JX89" s="249"/>
      <c r="JY89" s="250"/>
      <c r="JZ89" s="279"/>
      <c r="KA89" s="280"/>
      <c r="KB89" s="251"/>
      <c r="KC89" s="263"/>
      <c r="KD89" s="263"/>
      <c r="KE89" s="250"/>
      <c r="KF89" s="250"/>
      <c r="KG89" s="264"/>
      <c r="KI89" s="247" t="str">
        <f t="shared" ref="KI89:KI106" si="1426">$B89</f>
        <v>Zestiende finale</v>
      </c>
      <c r="KJ89" s="249"/>
      <c r="KK89" s="249"/>
      <c r="KL89" s="250"/>
      <c r="KM89" s="279"/>
      <c r="KN89" s="280"/>
      <c r="KO89" s="251"/>
      <c r="KP89" s="263"/>
      <c r="KQ89" s="263"/>
      <c r="KR89" s="250"/>
      <c r="KS89" s="250"/>
      <c r="KT89" s="264"/>
      <c r="KV89" s="247" t="str">
        <f t="shared" ref="KV89:KV106" si="1427">$B89</f>
        <v>Zestiende finale</v>
      </c>
      <c r="KW89" s="249"/>
      <c r="KX89" s="249"/>
      <c r="KY89" s="250"/>
      <c r="KZ89" s="279"/>
      <c r="LA89" s="280"/>
      <c r="LB89" s="251"/>
      <c r="LC89" s="263"/>
      <c r="LD89" s="263"/>
      <c r="LE89" s="250"/>
      <c r="LF89" s="250"/>
      <c r="LG89" s="264"/>
      <c r="LI89" s="247" t="str">
        <f t="shared" ref="LI89:LI106" si="1428">$B89</f>
        <v>Zestiende finale</v>
      </c>
      <c r="LJ89" s="249"/>
      <c r="LK89" s="249"/>
      <c r="LL89" s="250"/>
      <c r="LM89" s="279"/>
      <c r="LN89" s="280"/>
      <c r="LO89" s="251"/>
      <c r="LP89" s="263"/>
      <c r="LQ89" s="263"/>
      <c r="LR89" s="250"/>
      <c r="LS89" s="250"/>
      <c r="LT89" s="264"/>
      <c r="LV89" s="247" t="str">
        <f t="shared" ref="LV89:LV106" si="1429">$B89</f>
        <v>Zestiende finale</v>
      </c>
      <c r="LW89" s="249"/>
      <c r="LX89" s="249"/>
      <c r="LY89" s="250"/>
      <c r="LZ89" s="279"/>
      <c r="MA89" s="280"/>
      <c r="MB89" s="251"/>
      <c r="MC89" s="263"/>
      <c r="MD89" s="263"/>
      <c r="ME89" s="250"/>
      <c r="MF89" s="250"/>
      <c r="MG89" s="264"/>
    </row>
    <row r="90" spans="1:34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f>
        <v>0</v>
      </c>
      <c r="G90" s="242">
        <f>IF(AND('World Cup'!$B$51&lt;&gt;"",'World Cup'!$C$51&lt;&gt;""),'World Cup'!$C$51,"")</f>
        <v>0</v>
      </c>
      <c r="I90" s="238">
        <f>$B90</f>
        <v>10</v>
      </c>
      <c r="J90" s="239" t="str">
        <f>$C90</f>
        <v>Duitsland</v>
      </c>
      <c r="K90" s="240">
        <f>$D90</f>
        <v>27</v>
      </c>
      <c r="L90" s="239" t="str">
        <f>$E90</f>
        <v>Australië</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f t="shared" ref="T90:T105" si="1431">IF(OR(($C90&lt;&gt;"")*(I90&lt;&gt;""),($E90&lt;&gt;"")*(K90&lt;&gt;"")),($B90=I90)*1+($D90=K90)*1,"")</f>
        <v>2</v>
      </c>
      <c r="V90" s="238">
        <f>$B90</f>
        <v>10</v>
      </c>
      <c r="W90" s="239" t="str">
        <f>$C90</f>
        <v>Duitsland</v>
      </c>
      <c r="X90" s="240">
        <f>$D90</f>
        <v>27</v>
      </c>
      <c r="Y90" s="239" t="str">
        <f>$E90</f>
        <v>Australië</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f t="shared" ref="AG90:AG105" si="1433">IF(OR(($C90&lt;&gt;"")*(V90&lt;&gt;""),($E90&lt;&gt;"")*(X90&lt;&gt;"")),($B90=V90)*1+($D90=X90)*1,"")</f>
        <v>2</v>
      </c>
      <c r="AI90" s="238">
        <f>$B90</f>
        <v>10</v>
      </c>
      <c r="AJ90" s="239" t="str">
        <f>$C90</f>
        <v>Duitsland</v>
      </c>
      <c r="AK90" s="240">
        <f>$D90</f>
        <v>27</v>
      </c>
      <c r="AL90" s="239" t="str">
        <f>$E90</f>
        <v>Australië</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f t="shared" ref="AT90:AT105" si="1435">IF(OR(($C90&lt;&gt;"")*(AI90&lt;&gt;""),($E90&lt;&gt;"")*(AK90&lt;&gt;"")),($B90=AI90)*1+($D90=AK90)*1,"")</f>
        <v>2</v>
      </c>
      <c r="AV90" s="238">
        <f>$B90</f>
        <v>10</v>
      </c>
      <c r="AW90" s="239" t="str">
        <f>$C90</f>
        <v>Duitsland</v>
      </c>
      <c r="AX90" s="240">
        <f>$D90</f>
        <v>27</v>
      </c>
      <c r="AY90" s="239" t="str">
        <f>$E90</f>
        <v>Australië</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f t="shared" ref="BG90:BG105" si="1437">IF(OR(($C90&lt;&gt;"")*(AV90&lt;&gt;""),($E90&lt;&gt;"")*(AX90&lt;&gt;"")),($B90=AV90)*1+($D90=AX90)*1,"")</f>
        <v>2</v>
      </c>
      <c r="BI90" s="238">
        <f>$B90</f>
        <v>10</v>
      </c>
      <c r="BJ90" s="239" t="str">
        <f>$C90</f>
        <v>Duitsland</v>
      </c>
      <c r="BK90" s="240">
        <f>$D90</f>
        <v>27</v>
      </c>
      <c r="BL90" s="239" t="str">
        <f>$E90</f>
        <v>Australië</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f t="shared" ref="BT90:BT105" si="1439">IF(OR(($C90&lt;&gt;"")*(BI90&lt;&gt;""),($E90&lt;&gt;"")*(BK90&lt;&gt;"")),($B90=BI90)*1+($D90=BK90)*1,"")</f>
        <v>2</v>
      </c>
      <c r="BV90" s="238">
        <f>$B90</f>
        <v>10</v>
      </c>
      <c r="BW90" s="239" t="str">
        <f>$C90</f>
        <v>Duitsland</v>
      </c>
      <c r="BX90" s="240">
        <f>$D90</f>
        <v>27</v>
      </c>
      <c r="BY90" s="239" t="str">
        <f>$E90</f>
        <v>Australië</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f t="shared" ref="CG90:CG105" si="1441">IF(OR(($C90&lt;&gt;"")*(BV90&lt;&gt;""),($E90&lt;&gt;"")*(BX90&lt;&gt;"")),($B90=BV90)*1+($D90=BX90)*1,"")</f>
        <v>2</v>
      </c>
      <c r="CI90" s="238">
        <f>$B90</f>
        <v>10</v>
      </c>
      <c r="CJ90" s="239" t="str">
        <f>$C90</f>
        <v>Duitsland</v>
      </c>
      <c r="CK90" s="240">
        <f>$D90</f>
        <v>27</v>
      </c>
      <c r="CL90" s="239" t="str">
        <f>$E90</f>
        <v>Australië</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f t="shared" ref="CT90:CT105" si="1443">IF(OR(($C90&lt;&gt;"")*(CI90&lt;&gt;""),($E90&lt;&gt;"")*(CK90&lt;&gt;"")),($B90=CI90)*1+($D90=CK90)*1,"")</f>
        <v>2</v>
      </c>
      <c r="CV90" s="238">
        <f>$B90</f>
        <v>10</v>
      </c>
      <c r="CW90" s="239" t="str">
        <f>$C90</f>
        <v>Duitsland</v>
      </c>
      <c r="CX90" s="240">
        <f>$D90</f>
        <v>27</v>
      </c>
      <c r="CY90" s="239" t="str">
        <f>$E90</f>
        <v>Australië</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f t="shared" ref="DG90:DG105" si="1445">IF(OR(($C90&lt;&gt;"")*(CV90&lt;&gt;""),($E90&lt;&gt;"")*(CX90&lt;&gt;"")),($B90=CV90)*1+($D90=CX90)*1,"")</f>
        <v>2</v>
      </c>
      <c r="DI90" s="238">
        <f>$B90</f>
        <v>10</v>
      </c>
      <c r="DJ90" s="239" t="str">
        <f>$C90</f>
        <v>Duitsland</v>
      </c>
      <c r="DK90" s="240">
        <f>$D90</f>
        <v>27</v>
      </c>
      <c r="DL90" s="239" t="str">
        <f>$E90</f>
        <v>Australië</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f t="shared" ref="DT90:DT105" si="1447">IF(OR(($C90&lt;&gt;"")*(DI90&lt;&gt;""),($E90&lt;&gt;"")*(DK90&lt;&gt;"")),($B90=DI90)*1+($D90=DK90)*1,"")</f>
        <v>2</v>
      </c>
      <c r="DV90" s="238">
        <f>$B90</f>
        <v>10</v>
      </c>
      <c r="DW90" s="239" t="str">
        <f>$C90</f>
        <v>Duitsland</v>
      </c>
      <c r="DX90" s="240">
        <f>$D90</f>
        <v>27</v>
      </c>
      <c r="DY90" s="239" t="str">
        <f>$E90</f>
        <v>Australië</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f t="shared" ref="EG90:EG105" si="1449">IF(OR(($C90&lt;&gt;"")*(DV90&lt;&gt;""),($E90&lt;&gt;"")*(DX90&lt;&gt;"")),($B90=DV90)*1+($D90=DX90)*1,"")</f>
        <v>2</v>
      </c>
      <c r="EI90" s="238">
        <f>$B90</f>
        <v>10</v>
      </c>
      <c r="EJ90" s="239" t="str">
        <f>$C90</f>
        <v>Duitsland</v>
      </c>
      <c r="EK90" s="240">
        <f>$D90</f>
        <v>27</v>
      </c>
      <c r="EL90" s="239" t="str">
        <f>$E90</f>
        <v>Australië</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f t="shared" ref="ET90:ET105" si="1451">IF(OR(($C90&lt;&gt;"")*(EI90&lt;&gt;""),($E90&lt;&gt;"")*(EK90&lt;&gt;"")),($B90=EI90)*1+($D90=EK90)*1,"")</f>
        <v>2</v>
      </c>
      <c r="EV90" s="238">
        <f>$B90</f>
        <v>10</v>
      </c>
      <c r="EW90" s="239" t="str">
        <f>$C90</f>
        <v>Duitsland</v>
      </c>
      <c r="EX90" s="240">
        <f>$D90</f>
        <v>27</v>
      </c>
      <c r="EY90" s="239" t="str">
        <f>$E90</f>
        <v>Australië</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f t="shared" ref="FG90:FG105" si="1453">IF(OR(($C90&lt;&gt;"")*(EV90&lt;&gt;""),($E90&lt;&gt;"")*(EX90&lt;&gt;"")),($B90=EV90)*1+($D90=EX90)*1,"")</f>
        <v>2</v>
      </c>
      <c r="FI90" s="238">
        <f>$B90</f>
        <v>10</v>
      </c>
      <c r="FJ90" s="239" t="str">
        <f>$C90</f>
        <v>Duitsland</v>
      </c>
      <c r="FK90" s="240">
        <f>$D90</f>
        <v>27</v>
      </c>
      <c r="FL90" s="239" t="str">
        <f>$E90</f>
        <v>Australië</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f t="shared" ref="FT90:FT105" si="1455">IF(OR(($C90&lt;&gt;"")*(FI90&lt;&gt;""),($E90&lt;&gt;"")*(FK90&lt;&gt;"")),($B90=FI90)*1+($D90=FK90)*1,"")</f>
        <v>2</v>
      </c>
      <c r="FV90" s="238">
        <f>$B90</f>
        <v>10</v>
      </c>
      <c r="FW90" s="239" t="str">
        <f>$C90</f>
        <v>Duitsland</v>
      </c>
      <c r="FX90" s="240">
        <f>$D90</f>
        <v>27</v>
      </c>
      <c r="FY90" s="239" t="str">
        <f>$E90</f>
        <v>Australië</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f t="shared" ref="GG90:GG105" si="1457">IF(OR(($C90&lt;&gt;"")*(FV90&lt;&gt;""),($E90&lt;&gt;"")*(FX90&lt;&gt;"")),($B90=FV90)*1+($D90=FX90)*1,"")</f>
        <v>2</v>
      </c>
      <c r="GI90" s="238">
        <f>$B90</f>
        <v>10</v>
      </c>
      <c r="GJ90" s="239" t="str">
        <f>$C90</f>
        <v>Duitsland</v>
      </c>
      <c r="GK90" s="240">
        <f>$D90</f>
        <v>27</v>
      </c>
      <c r="GL90" s="239" t="str">
        <f>$E90</f>
        <v>Australië</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f t="shared" ref="GT90:GT105" si="1459">IF(OR(($C90&lt;&gt;"")*(GI90&lt;&gt;""),($E90&lt;&gt;"")*(GK90&lt;&gt;"")),($B90=GI90)*1+($D90=GK90)*1,"")</f>
        <v>2</v>
      </c>
      <c r="GV90" s="238">
        <f>$B90</f>
        <v>10</v>
      </c>
      <c r="GW90" s="239" t="str">
        <f>$C90</f>
        <v>Duitsland</v>
      </c>
      <c r="GX90" s="240">
        <f>$D90</f>
        <v>27</v>
      </c>
      <c r="GY90" s="239" t="str">
        <f>$E90</f>
        <v>Australië</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f t="shared" ref="HG90:HG105" si="1461">IF(OR(($C90&lt;&gt;"")*(GV90&lt;&gt;""),($E90&lt;&gt;"")*(GX90&lt;&gt;"")),($B90=GV90)*1+($D90=GX90)*1,"")</f>
        <v>2</v>
      </c>
      <c r="HI90" s="238">
        <f>$B90</f>
        <v>10</v>
      </c>
      <c r="HJ90" s="239" t="str">
        <f>$C90</f>
        <v>Duitsland</v>
      </c>
      <c r="HK90" s="240">
        <f>$D90</f>
        <v>27</v>
      </c>
      <c r="HL90" s="239" t="str">
        <f>$E90</f>
        <v>Australië</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f t="shared" ref="HT90:HT105" si="1463">IF(OR(($C90&lt;&gt;"")*(HI90&lt;&gt;""),($E90&lt;&gt;"")*(HK90&lt;&gt;"")),($B90=HI90)*1+($D90=HK90)*1,"")</f>
        <v>2</v>
      </c>
      <c r="HV90" s="238">
        <f>$B90</f>
        <v>10</v>
      </c>
      <c r="HW90" s="239" t="str">
        <f>$C90</f>
        <v>Duitsland</v>
      </c>
      <c r="HX90" s="240">
        <f>$D90</f>
        <v>27</v>
      </c>
      <c r="HY90" s="239" t="str">
        <f>$E90</f>
        <v>Australië</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f t="shared" ref="IG90:IG105" si="1465">IF(OR(($C90&lt;&gt;"")*(HV90&lt;&gt;""),($E90&lt;&gt;"")*(HX90&lt;&gt;"")),($B90=HV90)*1+($D90=HX90)*1,"")</f>
        <v>2</v>
      </c>
      <c r="II90" s="238">
        <f>$B90</f>
        <v>10</v>
      </c>
      <c r="IJ90" s="239" t="str">
        <f>$C90</f>
        <v>Duitsland</v>
      </c>
      <c r="IK90" s="240">
        <f>$D90</f>
        <v>27</v>
      </c>
      <c r="IL90" s="239" t="str">
        <f>$E90</f>
        <v>Australië</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f t="shared" ref="IT90:IT105" si="1467">IF(OR(($C90&lt;&gt;"")*(II90&lt;&gt;""),($E90&lt;&gt;"")*(IK90&lt;&gt;"")),($B90=II90)*1+($D90=IK90)*1,"")</f>
        <v>2</v>
      </c>
      <c r="IV90" s="238">
        <f>$B90</f>
        <v>10</v>
      </c>
      <c r="IW90" s="239" t="str">
        <f>$C90</f>
        <v>Duitsland</v>
      </c>
      <c r="IX90" s="240">
        <f>$D90</f>
        <v>27</v>
      </c>
      <c r="IY90" s="239" t="str">
        <f>$E90</f>
        <v>Australië</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f t="shared" ref="JG90:JG105" si="1469">IF(OR(($C90&lt;&gt;"")*(IV90&lt;&gt;""),($E90&lt;&gt;"")*(IX90&lt;&gt;"")),($B90=IV90)*1+($D90=IX90)*1,"")</f>
        <v>2</v>
      </c>
      <c r="JI90" s="238">
        <f>$B90</f>
        <v>10</v>
      </c>
      <c r="JJ90" s="239" t="str">
        <f>$C90</f>
        <v>Duitsland</v>
      </c>
      <c r="JK90" s="240">
        <f>$D90</f>
        <v>27</v>
      </c>
      <c r="JL90" s="239" t="str">
        <f>$E90</f>
        <v>Australië</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f t="shared" ref="JT90:JT105" si="1471">IF(OR(($C90&lt;&gt;"")*(JI90&lt;&gt;""),($E90&lt;&gt;"")*(JK90&lt;&gt;"")),($B90=JI90)*1+($D90=JK90)*1,"")</f>
        <v>2</v>
      </c>
      <c r="JV90" s="238">
        <f>$B90</f>
        <v>10</v>
      </c>
      <c r="JW90" s="239" t="str">
        <f>$C90</f>
        <v>Duitsland</v>
      </c>
      <c r="JX90" s="240">
        <f>$D90</f>
        <v>27</v>
      </c>
      <c r="JY90" s="239" t="str">
        <f>$E90</f>
        <v>Australië</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f t="shared" ref="KG90:KG105" si="1473">IF(OR(($C90&lt;&gt;"")*(JV90&lt;&gt;""),($E90&lt;&gt;"")*(JX90&lt;&gt;"")),($B90=JV90)*1+($D90=JX90)*1,"")</f>
        <v>2</v>
      </c>
      <c r="KI90" s="238">
        <f>$B90</f>
        <v>10</v>
      </c>
      <c r="KJ90" s="239" t="str">
        <f>$C90</f>
        <v>Duitsland</v>
      </c>
      <c r="KK90" s="240">
        <f>$D90</f>
        <v>27</v>
      </c>
      <c r="KL90" s="239" t="str">
        <f>$E90</f>
        <v>Australië</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f t="shared" ref="KT90:KT105" si="1475">IF(OR(($C90&lt;&gt;"")*(KI90&lt;&gt;""),($E90&lt;&gt;"")*(KK90&lt;&gt;"")),($B90=KI90)*1+($D90=KK90)*1,"")</f>
        <v>2</v>
      </c>
      <c r="KV90" s="238">
        <f>$B90</f>
        <v>10</v>
      </c>
      <c r="KW90" s="239" t="str">
        <f>$C90</f>
        <v>Duitsland</v>
      </c>
      <c r="KX90" s="240">
        <f>$D90</f>
        <v>27</v>
      </c>
      <c r="KY90" s="239" t="str">
        <f>$E90</f>
        <v>Australië</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f t="shared" ref="LG90:LG105" si="1477">IF(OR(($C90&lt;&gt;"")*(KV90&lt;&gt;""),($E90&lt;&gt;"")*(KX90&lt;&gt;"")),($B90=KV90)*1+($D90=KX90)*1,"")</f>
        <v>2</v>
      </c>
      <c r="LI90" s="238">
        <f>$B90</f>
        <v>10</v>
      </c>
      <c r="LJ90" s="239" t="str">
        <f>$C90</f>
        <v>Duitsland</v>
      </c>
      <c r="LK90" s="240">
        <f>$D90</f>
        <v>27</v>
      </c>
      <c r="LL90" s="239" t="str">
        <f>$E90</f>
        <v>Australië</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f t="shared" ref="LT90:LT105" si="1479">IF(OR(($C90&lt;&gt;"")*(LI90&lt;&gt;""),($E90&lt;&gt;"")*(LK90&lt;&gt;"")),($B90=LI90)*1+($D90=LK90)*1,"")</f>
        <v>2</v>
      </c>
      <c r="LV90" s="238">
        <f>$B90</f>
        <v>10</v>
      </c>
      <c r="LW90" s="239" t="str">
        <f>$C90</f>
        <v>Duitsland</v>
      </c>
      <c r="LX90" s="240">
        <f>$D90</f>
        <v>27</v>
      </c>
      <c r="LY90" s="239" t="str">
        <f>$E90</f>
        <v>Australië</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f t="shared" ref="MG90:MG105" si="1481">IF(OR(($C90&lt;&gt;"")*(LV90&lt;&gt;""),($E90&lt;&gt;"")*(LX90&lt;&gt;"")),($B90=LV90)*1+($D90=LX90)*1,"")</f>
        <v>2</v>
      </c>
    </row>
    <row r="91" spans="1:345">
      <c r="B91" s="238">
        <f>IF(C91="","",INDEX(Groups!$C$7:$C$65,MATCH(C91,Groups!$D$7:$D$65,0)))</f>
        <v>1</v>
      </c>
      <c r="C91" s="239" t="str">
        <f>'World Cup'!$E$50</f>
        <v>Frankrijk</v>
      </c>
      <c r="D91" s="240">
        <f>IF(E91="","",INDEX(Groups!$C$7:$C$65,MATCH(E91,Groups!$D$7:$D$65,0)))</f>
        <v>38</v>
      </c>
      <c r="E91" s="239" t="str">
        <f>'World Cup'!$F$50</f>
        <v>Zweden</v>
      </c>
      <c r="F91" s="241">
        <f>IF(AND('World Cup'!$E$51&lt;&gt;"",'World Cup'!$F$51&lt;&gt;""),'World Cup'!$E$51,"")</f>
        <v>2</v>
      </c>
      <c r="G91" s="242">
        <f>IF(AND('World Cup'!$E$51&lt;&gt;"",'World Cup'!$F$51&lt;&gt;""),'World Cup'!$F$51,"")</f>
        <v>3</v>
      </c>
      <c r="I91" s="238">
        <f t="shared" ref="I91:I105" si="1482">$B91</f>
        <v>1</v>
      </c>
      <c r="J91" s="239" t="str">
        <f t="shared" ref="J91:J105" si="1483">$C91</f>
        <v>Frankrijk</v>
      </c>
      <c r="K91" s="240">
        <f t="shared" ref="K91:K105" si="1484">$D91</f>
        <v>38</v>
      </c>
      <c r="L91" s="239" t="str">
        <f t="shared" ref="L91:L105" si="1485">$E91</f>
        <v>Zweden</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f t="shared" si="1431"/>
        <v>2</v>
      </c>
      <c r="V91" s="238">
        <f t="shared" ref="V91:V105" si="1487">$B91</f>
        <v>1</v>
      </c>
      <c r="W91" s="239" t="str">
        <f t="shared" ref="W91:W105" si="1488">$C91</f>
        <v>Frankrijk</v>
      </c>
      <c r="X91" s="240">
        <f t="shared" ref="X91:X105" si="1489">$D91</f>
        <v>38</v>
      </c>
      <c r="Y91" s="239" t="str">
        <f t="shared" ref="Y91:Y105" si="1490">$E91</f>
        <v>Zweden</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f t="shared" si="1433"/>
        <v>2</v>
      </c>
      <c r="AI91" s="238">
        <f t="shared" ref="AI91:AI105" si="1492">$B91</f>
        <v>1</v>
      </c>
      <c r="AJ91" s="239" t="str">
        <f t="shared" ref="AJ91:AJ105" si="1493">$C91</f>
        <v>Frankrijk</v>
      </c>
      <c r="AK91" s="240">
        <f t="shared" ref="AK91:AK105" si="1494">$D91</f>
        <v>38</v>
      </c>
      <c r="AL91" s="239" t="str">
        <f t="shared" ref="AL91:AL105" si="1495">$E91</f>
        <v>Zweden</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f t="shared" si="1435"/>
        <v>2</v>
      </c>
      <c r="AV91" s="238">
        <f t="shared" ref="AV91:AV105" si="1497">$B91</f>
        <v>1</v>
      </c>
      <c r="AW91" s="239" t="str">
        <f t="shared" ref="AW91:AW105" si="1498">$C91</f>
        <v>Frankrijk</v>
      </c>
      <c r="AX91" s="240">
        <f t="shared" ref="AX91:AX105" si="1499">$D91</f>
        <v>38</v>
      </c>
      <c r="AY91" s="239" t="str">
        <f t="shared" ref="AY91:AY105" si="1500">$E91</f>
        <v>Zweden</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f t="shared" si="1437"/>
        <v>2</v>
      </c>
      <c r="BI91" s="238">
        <f t="shared" ref="BI91:BI105" si="1502">$B91</f>
        <v>1</v>
      </c>
      <c r="BJ91" s="239" t="str">
        <f t="shared" ref="BJ91:BJ105" si="1503">$C91</f>
        <v>Frankrijk</v>
      </c>
      <c r="BK91" s="240">
        <f t="shared" ref="BK91:BK105" si="1504">$D91</f>
        <v>38</v>
      </c>
      <c r="BL91" s="239" t="str">
        <f t="shared" ref="BL91:BL105" si="1505">$E91</f>
        <v>Zweden</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f t="shared" si="1439"/>
        <v>2</v>
      </c>
      <c r="BV91" s="238">
        <f t="shared" ref="BV91:BV105" si="1507">$B91</f>
        <v>1</v>
      </c>
      <c r="BW91" s="239" t="str">
        <f t="shared" ref="BW91:BW105" si="1508">$C91</f>
        <v>Frankrijk</v>
      </c>
      <c r="BX91" s="240">
        <f t="shared" ref="BX91:BX105" si="1509">$D91</f>
        <v>38</v>
      </c>
      <c r="BY91" s="239" t="str">
        <f t="shared" ref="BY91:BY105" si="1510">$E91</f>
        <v>Zweden</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f t="shared" si="1441"/>
        <v>2</v>
      </c>
      <c r="CI91" s="238">
        <f t="shared" ref="CI91:CI105" si="1512">$B91</f>
        <v>1</v>
      </c>
      <c r="CJ91" s="239" t="str">
        <f t="shared" ref="CJ91:CJ105" si="1513">$C91</f>
        <v>Frankrijk</v>
      </c>
      <c r="CK91" s="240">
        <f t="shared" ref="CK91:CK105" si="1514">$D91</f>
        <v>38</v>
      </c>
      <c r="CL91" s="239" t="str">
        <f t="shared" ref="CL91:CL105" si="1515">$E91</f>
        <v>Zweden</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f t="shared" si="1443"/>
        <v>2</v>
      </c>
      <c r="CV91" s="238">
        <f t="shared" ref="CV91:CV105" si="1517">$B91</f>
        <v>1</v>
      </c>
      <c r="CW91" s="239" t="str">
        <f t="shared" ref="CW91:CW105" si="1518">$C91</f>
        <v>Frankrijk</v>
      </c>
      <c r="CX91" s="240">
        <f t="shared" ref="CX91:CX105" si="1519">$D91</f>
        <v>38</v>
      </c>
      <c r="CY91" s="239" t="str">
        <f t="shared" ref="CY91:CY105" si="1520">$E91</f>
        <v>Zweden</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f t="shared" si="1445"/>
        <v>2</v>
      </c>
      <c r="DI91" s="238">
        <f t="shared" ref="DI91:DI105" si="1522">$B91</f>
        <v>1</v>
      </c>
      <c r="DJ91" s="239" t="str">
        <f t="shared" ref="DJ91:DJ105" si="1523">$C91</f>
        <v>Frankrijk</v>
      </c>
      <c r="DK91" s="240">
        <f t="shared" ref="DK91:DK105" si="1524">$D91</f>
        <v>38</v>
      </c>
      <c r="DL91" s="239" t="str">
        <f t="shared" ref="DL91:DL105" si="1525">$E91</f>
        <v>Zweden</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f t="shared" si="1447"/>
        <v>2</v>
      </c>
      <c r="DV91" s="238">
        <f t="shared" ref="DV91:DV105" si="1527">$B91</f>
        <v>1</v>
      </c>
      <c r="DW91" s="239" t="str">
        <f t="shared" ref="DW91:DW105" si="1528">$C91</f>
        <v>Frankrijk</v>
      </c>
      <c r="DX91" s="240">
        <f t="shared" ref="DX91:DX105" si="1529">$D91</f>
        <v>38</v>
      </c>
      <c r="DY91" s="239" t="str">
        <f t="shared" ref="DY91:DY105" si="1530">$E91</f>
        <v>Zweden</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f t="shared" si="1449"/>
        <v>2</v>
      </c>
      <c r="EI91" s="238">
        <f t="shared" ref="EI91:EI105" si="1532">$B91</f>
        <v>1</v>
      </c>
      <c r="EJ91" s="239" t="str">
        <f t="shared" ref="EJ91:EJ105" si="1533">$C91</f>
        <v>Frankrijk</v>
      </c>
      <c r="EK91" s="240">
        <f t="shared" ref="EK91:EK105" si="1534">$D91</f>
        <v>38</v>
      </c>
      <c r="EL91" s="239" t="str">
        <f t="shared" ref="EL91:EL105" si="1535">$E91</f>
        <v>Zweden</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f t="shared" si="1451"/>
        <v>2</v>
      </c>
      <c r="EV91" s="238">
        <f t="shared" ref="EV91:EV105" si="1537">$B91</f>
        <v>1</v>
      </c>
      <c r="EW91" s="239" t="str">
        <f t="shared" ref="EW91:EW105" si="1538">$C91</f>
        <v>Frankrijk</v>
      </c>
      <c r="EX91" s="240">
        <f t="shared" ref="EX91:EX105" si="1539">$D91</f>
        <v>38</v>
      </c>
      <c r="EY91" s="239" t="str">
        <f t="shared" ref="EY91:EY105" si="1540">$E91</f>
        <v>Zweden</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f t="shared" si="1453"/>
        <v>2</v>
      </c>
      <c r="FI91" s="238">
        <f t="shared" ref="FI91:FI105" si="1542">$B91</f>
        <v>1</v>
      </c>
      <c r="FJ91" s="239" t="str">
        <f t="shared" ref="FJ91:FJ105" si="1543">$C91</f>
        <v>Frankrijk</v>
      </c>
      <c r="FK91" s="240">
        <f t="shared" ref="FK91:FK105" si="1544">$D91</f>
        <v>38</v>
      </c>
      <c r="FL91" s="239" t="str">
        <f t="shared" ref="FL91:FL105" si="1545">$E91</f>
        <v>Zweden</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f t="shared" si="1455"/>
        <v>2</v>
      </c>
      <c r="FV91" s="238">
        <f t="shared" ref="FV91:FV105" si="1547">$B91</f>
        <v>1</v>
      </c>
      <c r="FW91" s="239" t="str">
        <f t="shared" ref="FW91:FW105" si="1548">$C91</f>
        <v>Frankrijk</v>
      </c>
      <c r="FX91" s="240">
        <f t="shared" ref="FX91:FX105" si="1549">$D91</f>
        <v>38</v>
      </c>
      <c r="FY91" s="239" t="str">
        <f t="shared" ref="FY91:FY105" si="1550">$E91</f>
        <v>Zweden</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f t="shared" si="1457"/>
        <v>2</v>
      </c>
      <c r="GI91" s="238">
        <f t="shared" ref="GI91:GI105" si="1552">$B91</f>
        <v>1</v>
      </c>
      <c r="GJ91" s="239" t="str">
        <f t="shared" ref="GJ91:GJ105" si="1553">$C91</f>
        <v>Frankrijk</v>
      </c>
      <c r="GK91" s="240">
        <f t="shared" ref="GK91:GK105" si="1554">$D91</f>
        <v>38</v>
      </c>
      <c r="GL91" s="239" t="str">
        <f t="shared" ref="GL91:GL105" si="1555">$E91</f>
        <v>Zweden</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f t="shared" si="1459"/>
        <v>2</v>
      </c>
      <c r="GV91" s="238">
        <f t="shared" ref="GV91:GV105" si="1557">$B91</f>
        <v>1</v>
      </c>
      <c r="GW91" s="239" t="str">
        <f t="shared" ref="GW91:GW105" si="1558">$C91</f>
        <v>Frankrijk</v>
      </c>
      <c r="GX91" s="240">
        <f t="shared" ref="GX91:GX105" si="1559">$D91</f>
        <v>38</v>
      </c>
      <c r="GY91" s="239" t="str">
        <f t="shared" ref="GY91:GY105" si="1560">$E91</f>
        <v>Zweden</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f t="shared" si="1461"/>
        <v>2</v>
      </c>
      <c r="HI91" s="238">
        <f t="shared" ref="HI91:HI105" si="1562">$B91</f>
        <v>1</v>
      </c>
      <c r="HJ91" s="239" t="str">
        <f t="shared" ref="HJ91:HJ105" si="1563">$C91</f>
        <v>Frankrijk</v>
      </c>
      <c r="HK91" s="240">
        <f t="shared" ref="HK91:HK105" si="1564">$D91</f>
        <v>38</v>
      </c>
      <c r="HL91" s="239" t="str">
        <f t="shared" ref="HL91:HL105" si="1565">$E91</f>
        <v>Zweden</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f t="shared" si="1463"/>
        <v>2</v>
      </c>
      <c r="HV91" s="238">
        <f t="shared" ref="HV91:HV105" si="1567">$B91</f>
        <v>1</v>
      </c>
      <c r="HW91" s="239" t="str">
        <f t="shared" ref="HW91:HW105" si="1568">$C91</f>
        <v>Frankrijk</v>
      </c>
      <c r="HX91" s="240">
        <f t="shared" ref="HX91:HX105" si="1569">$D91</f>
        <v>38</v>
      </c>
      <c r="HY91" s="239" t="str">
        <f t="shared" ref="HY91:HY105" si="1570">$E91</f>
        <v>Zweden</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f t="shared" si="1465"/>
        <v>2</v>
      </c>
      <c r="II91" s="238">
        <f t="shared" ref="II91:II105" si="1572">$B91</f>
        <v>1</v>
      </c>
      <c r="IJ91" s="239" t="str">
        <f t="shared" ref="IJ91:IJ105" si="1573">$C91</f>
        <v>Frankrijk</v>
      </c>
      <c r="IK91" s="240">
        <f t="shared" ref="IK91:IK105" si="1574">$D91</f>
        <v>38</v>
      </c>
      <c r="IL91" s="239" t="str">
        <f t="shared" ref="IL91:IL105" si="1575">$E91</f>
        <v>Zweden</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f t="shared" si="1467"/>
        <v>2</v>
      </c>
      <c r="IV91" s="238">
        <f t="shared" ref="IV91:IV105" si="1577">$B91</f>
        <v>1</v>
      </c>
      <c r="IW91" s="239" t="str">
        <f t="shared" ref="IW91:IW105" si="1578">$C91</f>
        <v>Frankrijk</v>
      </c>
      <c r="IX91" s="240">
        <f t="shared" ref="IX91:IX105" si="1579">$D91</f>
        <v>38</v>
      </c>
      <c r="IY91" s="239" t="str">
        <f t="shared" ref="IY91:IY105" si="1580">$E91</f>
        <v>Zweden</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f t="shared" si="1469"/>
        <v>2</v>
      </c>
      <c r="JI91" s="238">
        <f t="shared" ref="JI91:JI105" si="1582">$B91</f>
        <v>1</v>
      </c>
      <c r="JJ91" s="239" t="str">
        <f t="shared" ref="JJ91:JJ105" si="1583">$C91</f>
        <v>Frankrijk</v>
      </c>
      <c r="JK91" s="240">
        <f t="shared" ref="JK91:JK105" si="1584">$D91</f>
        <v>38</v>
      </c>
      <c r="JL91" s="239" t="str">
        <f t="shared" ref="JL91:JL105" si="1585">$E91</f>
        <v>Zweden</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f t="shared" si="1471"/>
        <v>2</v>
      </c>
      <c r="JV91" s="238">
        <f t="shared" ref="JV91:JV105" si="1587">$B91</f>
        <v>1</v>
      </c>
      <c r="JW91" s="239" t="str">
        <f t="shared" ref="JW91:JW105" si="1588">$C91</f>
        <v>Frankrijk</v>
      </c>
      <c r="JX91" s="240">
        <f t="shared" ref="JX91:JX105" si="1589">$D91</f>
        <v>38</v>
      </c>
      <c r="JY91" s="239" t="str">
        <f t="shared" ref="JY91:JY105" si="1590">$E91</f>
        <v>Zweden</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f t="shared" si="1473"/>
        <v>2</v>
      </c>
      <c r="KI91" s="238">
        <f t="shared" ref="KI91:KI105" si="1592">$B91</f>
        <v>1</v>
      </c>
      <c r="KJ91" s="239" t="str">
        <f t="shared" ref="KJ91:KJ105" si="1593">$C91</f>
        <v>Frankrijk</v>
      </c>
      <c r="KK91" s="240">
        <f t="shared" ref="KK91:KK105" si="1594">$D91</f>
        <v>38</v>
      </c>
      <c r="KL91" s="239" t="str">
        <f t="shared" ref="KL91:KL105" si="1595">$E91</f>
        <v>Zweden</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f t="shared" si="1475"/>
        <v>2</v>
      </c>
      <c r="KV91" s="238">
        <f t="shared" ref="KV91:KV105" si="1597">$B91</f>
        <v>1</v>
      </c>
      <c r="KW91" s="239" t="str">
        <f t="shared" ref="KW91:KW105" si="1598">$C91</f>
        <v>Frankrijk</v>
      </c>
      <c r="KX91" s="240">
        <f t="shared" ref="KX91:KX105" si="1599">$D91</f>
        <v>38</v>
      </c>
      <c r="KY91" s="239" t="str">
        <f t="shared" ref="KY91:KY105" si="1600">$E91</f>
        <v>Zweden</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f t="shared" si="1477"/>
        <v>2</v>
      </c>
      <c r="LI91" s="238">
        <f t="shared" ref="LI91:LI105" si="1602">$B91</f>
        <v>1</v>
      </c>
      <c r="LJ91" s="239" t="str">
        <f t="shared" ref="LJ91:LJ105" si="1603">$C91</f>
        <v>Frankrijk</v>
      </c>
      <c r="LK91" s="240">
        <f t="shared" ref="LK91:LK105" si="1604">$D91</f>
        <v>38</v>
      </c>
      <c r="LL91" s="239" t="str">
        <f t="shared" ref="LL91:LL105" si="1605">$E91</f>
        <v>Zweden</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f t="shared" si="1479"/>
        <v>2</v>
      </c>
      <c r="LV91" s="238">
        <f t="shared" ref="LV91:LV105" si="1607">$B91</f>
        <v>1</v>
      </c>
      <c r="LW91" s="239" t="str">
        <f t="shared" ref="LW91:LW105" si="1608">$C91</f>
        <v>Frankrijk</v>
      </c>
      <c r="LX91" s="240">
        <f t="shared" ref="LX91:LX105" si="1609">$D91</f>
        <v>38</v>
      </c>
      <c r="LY91" s="239" t="str">
        <f t="shared" ref="LY91:LY105" si="1610">$E91</f>
        <v>Zweden</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f t="shared" si="1481"/>
        <v>2</v>
      </c>
    </row>
    <row r="92" spans="1:345">
      <c r="B92" s="238">
        <f>IF(C92="","",INDEX(Groups!$C$7:$C$65,MATCH(C92,Groups!$D$7:$D$65,0)))</f>
        <v>25</v>
      </c>
      <c r="C92" s="239" t="str">
        <f>'World Cup'!$H$50</f>
        <v>Zuid-Korea</v>
      </c>
      <c r="D92" s="240">
        <f>IF(E92="","",INDEX(Groups!$C$7:$C$65,MATCH(E92,Groups!$D$7:$D$65,0)))</f>
        <v>30</v>
      </c>
      <c r="E92" s="239" t="str">
        <f>'World Cup'!$I$50</f>
        <v>Canada</v>
      </c>
      <c r="F92" s="241">
        <f>IF(AND('World Cup'!$H$51&lt;&gt;"",'World Cup'!$I$51&lt;&gt;""),'World Cup'!$H$51,"")</f>
        <v>0</v>
      </c>
      <c r="G92" s="242">
        <f>IF(AND('World Cup'!$H$51&lt;&gt;"",'World Cup'!$I$51&lt;&gt;""),'World Cup'!$I$51,"")</f>
        <v>0</v>
      </c>
      <c r="I92" s="238">
        <f t="shared" si="1482"/>
        <v>25</v>
      </c>
      <c r="J92" s="239" t="str">
        <f t="shared" si="1483"/>
        <v>Zuid-Korea</v>
      </c>
      <c r="K92" s="240">
        <f t="shared" si="1484"/>
        <v>30</v>
      </c>
      <c r="L92" s="239" t="str">
        <f t="shared" si="1485"/>
        <v>Canada</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f t="shared" si="1431"/>
        <v>2</v>
      </c>
      <c r="V92" s="238">
        <f t="shared" si="1487"/>
        <v>25</v>
      </c>
      <c r="W92" s="239" t="str">
        <f t="shared" si="1488"/>
        <v>Zuid-Korea</v>
      </c>
      <c r="X92" s="240">
        <f t="shared" si="1489"/>
        <v>30</v>
      </c>
      <c r="Y92" s="239" t="str">
        <f t="shared" si="1490"/>
        <v>Canada</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f t="shared" si="1433"/>
        <v>2</v>
      </c>
      <c r="AI92" s="238">
        <f t="shared" si="1492"/>
        <v>25</v>
      </c>
      <c r="AJ92" s="239" t="str">
        <f t="shared" si="1493"/>
        <v>Zuid-Korea</v>
      </c>
      <c r="AK92" s="240">
        <f t="shared" si="1494"/>
        <v>30</v>
      </c>
      <c r="AL92" s="239" t="str">
        <f t="shared" si="1495"/>
        <v>Canada</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f t="shared" si="1435"/>
        <v>2</v>
      </c>
      <c r="AV92" s="238">
        <f t="shared" si="1497"/>
        <v>25</v>
      </c>
      <c r="AW92" s="239" t="str">
        <f t="shared" si="1498"/>
        <v>Zuid-Korea</v>
      </c>
      <c r="AX92" s="240">
        <f t="shared" si="1499"/>
        <v>30</v>
      </c>
      <c r="AY92" s="239" t="str">
        <f t="shared" si="1500"/>
        <v>Canada</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f t="shared" si="1437"/>
        <v>2</v>
      </c>
      <c r="BI92" s="238">
        <f t="shared" si="1502"/>
        <v>25</v>
      </c>
      <c r="BJ92" s="239" t="str">
        <f t="shared" si="1503"/>
        <v>Zuid-Korea</v>
      </c>
      <c r="BK92" s="240">
        <f t="shared" si="1504"/>
        <v>30</v>
      </c>
      <c r="BL92" s="239" t="str">
        <f t="shared" si="1505"/>
        <v>Canada</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f t="shared" si="1439"/>
        <v>2</v>
      </c>
      <c r="BV92" s="238">
        <f t="shared" si="1507"/>
        <v>25</v>
      </c>
      <c r="BW92" s="239" t="str">
        <f t="shared" si="1508"/>
        <v>Zuid-Korea</v>
      </c>
      <c r="BX92" s="240">
        <f t="shared" si="1509"/>
        <v>30</v>
      </c>
      <c r="BY92" s="239" t="str">
        <f t="shared" si="1510"/>
        <v>Canada</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f t="shared" si="1441"/>
        <v>2</v>
      </c>
      <c r="CI92" s="238">
        <f t="shared" si="1512"/>
        <v>25</v>
      </c>
      <c r="CJ92" s="239" t="str">
        <f t="shared" si="1513"/>
        <v>Zuid-Korea</v>
      </c>
      <c r="CK92" s="240">
        <f t="shared" si="1514"/>
        <v>30</v>
      </c>
      <c r="CL92" s="239" t="str">
        <f t="shared" si="1515"/>
        <v>Canada</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f t="shared" si="1443"/>
        <v>2</v>
      </c>
      <c r="CV92" s="238">
        <f t="shared" si="1517"/>
        <v>25</v>
      </c>
      <c r="CW92" s="239" t="str">
        <f t="shared" si="1518"/>
        <v>Zuid-Korea</v>
      </c>
      <c r="CX92" s="240">
        <f t="shared" si="1519"/>
        <v>30</v>
      </c>
      <c r="CY92" s="239" t="str">
        <f t="shared" si="1520"/>
        <v>Canada</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f t="shared" si="1445"/>
        <v>2</v>
      </c>
      <c r="DI92" s="238">
        <f t="shared" si="1522"/>
        <v>25</v>
      </c>
      <c r="DJ92" s="239" t="str">
        <f t="shared" si="1523"/>
        <v>Zuid-Korea</v>
      </c>
      <c r="DK92" s="240">
        <f t="shared" si="1524"/>
        <v>30</v>
      </c>
      <c r="DL92" s="239" t="str">
        <f t="shared" si="1525"/>
        <v>Canada</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f t="shared" si="1447"/>
        <v>2</v>
      </c>
      <c r="DV92" s="238">
        <f t="shared" si="1527"/>
        <v>25</v>
      </c>
      <c r="DW92" s="239" t="str">
        <f t="shared" si="1528"/>
        <v>Zuid-Korea</v>
      </c>
      <c r="DX92" s="240">
        <f t="shared" si="1529"/>
        <v>30</v>
      </c>
      <c r="DY92" s="239" t="str">
        <f t="shared" si="1530"/>
        <v>Canada</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f t="shared" si="1449"/>
        <v>2</v>
      </c>
      <c r="EI92" s="238">
        <f t="shared" si="1532"/>
        <v>25</v>
      </c>
      <c r="EJ92" s="239" t="str">
        <f t="shared" si="1533"/>
        <v>Zuid-Korea</v>
      </c>
      <c r="EK92" s="240">
        <f t="shared" si="1534"/>
        <v>30</v>
      </c>
      <c r="EL92" s="239" t="str">
        <f t="shared" si="1535"/>
        <v>Canada</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f t="shared" si="1451"/>
        <v>2</v>
      </c>
      <c r="EV92" s="238">
        <f t="shared" si="1537"/>
        <v>25</v>
      </c>
      <c r="EW92" s="239" t="str">
        <f t="shared" si="1538"/>
        <v>Zuid-Korea</v>
      </c>
      <c r="EX92" s="240">
        <f t="shared" si="1539"/>
        <v>30</v>
      </c>
      <c r="EY92" s="239" t="str">
        <f t="shared" si="1540"/>
        <v>Canada</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f t="shared" si="1453"/>
        <v>2</v>
      </c>
      <c r="FI92" s="238">
        <f t="shared" si="1542"/>
        <v>25</v>
      </c>
      <c r="FJ92" s="239" t="str">
        <f t="shared" si="1543"/>
        <v>Zuid-Korea</v>
      </c>
      <c r="FK92" s="240">
        <f t="shared" si="1544"/>
        <v>30</v>
      </c>
      <c r="FL92" s="239" t="str">
        <f t="shared" si="1545"/>
        <v>Canada</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f t="shared" si="1455"/>
        <v>2</v>
      </c>
      <c r="FV92" s="238">
        <f t="shared" si="1547"/>
        <v>25</v>
      </c>
      <c r="FW92" s="239" t="str">
        <f t="shared" si="1548"/>
        <v>Zuid-Korea</v>
      </c>
      <c r="FX92" s="240">
        <f t="shared" si="1549"/>
        <v>30</v>
      </c>
      <c r="FY92" s="239" t="str">
        <f t="shared" si="1550"/>
        <v>Canada</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f t="shared" si="1457"/>
        <v>2</v>
      </c>
      <c r="GI92" s="238">
        <f t="shared" si="1552"/>
        <v>25</v>
      </c>
      <c r="GJ92" s="239" t="str">
        <f t="shared" si="1553"/>
        <v>Zuid-Korea</v>
      </c>
      <c r="GK92" s="240">
        <f t="shared" si="1554"/>
        <v>30</v>
      </c>
      <c r="GL92" s="239" t="str">
        <f t="shared" si="1555"/>
        <v>Canada</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f t="shared" si="1459"/>
        <v>2</v>
      </c>
      <c r="GV92" s="238">
        <f t="shared" si="1557"/>
        <v>25</v>
      </c>
      <c r="GW92" s="239" t="str">
        <f t="shared" si="1558"/>
        <v>Zuid-Korea</v>
      </c>
      <c r="GX92" s="240">
        <f t="shared" si="1559"/>
        <v>30</v>
      </c>
      <c r="GY92" s="239" t="str">
        <f t="shared" si="1560"/>
        <v>Canada</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f t="shared" si="1461"/>
        <v>2</v>
      </c>
      <c r="HI92" s="238">
        <f t="shared" si="1562"/>
        <v>25</v>
      </c>
      <c r="HJ92" s="239" t="str">
        <f t="shared" si="1563"/>
        <v>Zuid-Korea</v>
      </c>
      <c r="HK92" s="240">
        <f t="shared" si="1564"/>
        <v>30</v>
      </c>
      <c r="HL92" s="239" t="str">
        <f t="shared" si="1565"/>
        <v>Canada</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f t="shared" si="1463"/>
        <v>2</v>
      </c>
      <c r="HV92" s="238">
        <f t="shared" si="1567"/>
        <v>25</v>
      </c>
      <c r="HW92" s="239" t="str">
        <f t="shared" si="1568"/>
        <v>Zuid-Korea</v>
      </c>
      <c r="HX92" s="240">
        <f t="shared" si="1569"/>
        <v>30</v>
      </c>
      <c r="HY92" s="239" t="str">
        <f t="shared" si="1570"/>
        <v>Canada</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f t="shared" si="1465"/>
        <v>2</v>
      </c>
      <c r="II92" s="238">
        <f t="shared" si="1572"/>
        <v>25</v>
      </c>
      <c r="IJ92" s="239" t="str">
        <f t="shared" si="1573"/>
        <v>Zuid-Korea</v>
      </c>
      <c r="IK92" s="240">
        <f t="shared" si="1574"/>
        <v>30</v>
      </c>
      <c r="IL92" s="239" t="str">
        <f t="shared" si="1575"/>
        <v>Canada</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f t="shared" si="1467"/>
        <v>2</v>
      </c>
      <c r="IV92" s="238">
        <f t="shared" si="1577"/>
        <v>25</v>
      </c>
      <c r="IW92" s="239" t="str">
        <f t="shared" si="1578"/>
        <v>Zuid-Korea</v>
      </c>
      <c r="IX92" s="240">
        <f t="shared" si="1579"/>
        <v>30</v>
      </c>
      <c r="IY92" s="239" t="str">
        <f t="shared" si="1580"/>
        <v>Canada</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f t="shared" si="1469"/>
        <v>2</v>
      </c>
      <c r="JI92" s="238">
        <f t="shared" si="1582"/>
        <v>25</v>
      </c>
      <c r="JJ92" s="239" t="str">
        <f t="shared" si="1583"/>
        <v>Zuid-Korea</v>
      </c>
      <c r="JK92" s="240">
        <f t="shared" si="1584"/>
        <v>30</v>
      </c>
      <c r="JL92" s="239" t="str">
        <f t="shared" si="1585"/>
        <v>Canada</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f t="shared" si="1471"/>
        <v>2</v>
      </c>
      <c r="JV92" s="238">
        <f t="shared" si="1587"/>
        <v>25</v>
      </c>
      <c r="JW92" s="239" t="str">
        <f t="shared" si="1588"/>
        <v>Zuid-Korea</v>
      </c>
      <c r="JX92" s="240">
        <f t="shared" si="1589"/>
        <v>30</v>
      </c>
      <c r="JY92" s="239" t="str">
        <f t="shared" si="1590"/>
        <v>Canada</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f t="shared" si="1473"/>
        <v>2</v>
      </c>
      <c r="KI92" s="238">
        <f t="shared" si="1592"/>
        <v>25</v>
      </c>
      <c r="KJ92" s="239" t="str">
        <f t="shared" si="1593"/>
        <v>Zuid-Korea</v>
      </c>
      <c r="KK92" s="240">
        <f t="shared" si="1594"/>
        <v>30</v>
      </c>
      <c r="KL92" s="239" t="str">
        <f t="shared" si="1595"/>
        <v>Canada</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f t="shared" si="1475"/>
        <v>2</v>
      </c>
      <c r="KV92" s="238">
        <f t="shared" si="1597"/>
        <v>25</v>
      </c>
      <c r="KW92" s="239" t="str">
        <f t="shared" si="1598"/>
        <v>Zuid-Korea</v>
      </c>
      <c r="KX92" s="240">
        <f t="shared" si="1599"/>
        <v>30</v>
      </c>
      <c r="KY92" s="239" t="str">
        <f t="shared" si="1600"/>
        <v>Canada</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f t="shared" si="1477"/>
        <v>2</v>
      </c>
      <c r="LI92" s="238">
        <f t="shared" si="1602"/>
        <v>25</v>
      </c>
      <c r="LJ92" s="239" t="str">
        <f t="shared" si="1603"/>
        <v>Zuid-Korea</v>
      </c>
      <c r="LK92" s="240">
        <f t="shared" si="1604"/>
        <v>30</v>
      </c>
      <c r="LL92" s="239" t="str">
        <f t="shared" si="1605"/>
        <v>Canada</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f t="shared" si="1479"/>
        <v>2</v>
      </c>
      <c r="LV92" s="238">
        <f t="shared" si="1607"/>
        <v>25</v>
      </c>
      <c r="LW92" s="239" t="str">
        <f t="shared" si="1608"/>
        <v>Zuid-Korea</v>
      </c>
      <c r="LX92" s="240">
        <f t="shared" si="1609"/>
        <v>30</v>
      </c>
      <c r="LY92" s="239" t="str">
        <f t="shared" si="1610"/>
        <v>Canada</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f t="shared" si="1481"/>
        <v>2</v>
      </c>
    </row>
    <row r="93" spans="1:345">
      <c r="B93" s="238">
        <f>IF(C93="","",INDEX(Groups!$C$7:$C$65,MATCH(C93,Groups!$D$7:$D$65,0)))</f>
        <v>7</v>
      </c>
      <c r="C93" s="239" t="str">
        <f>'World Cup'!$K$50</f>
        <v>Nederland</v>
      </c>
      <c r="D93" s="240">
        <f>IF(E93="","",INDEX(Groups!$C$7:$C$65,MATCH(E93,Groups!$D$7:$D$65,0)))</f>
        <v>8</v>
      </c>
      <c r="E93" s="239" t="str">
        <f>'World Cup'!$L$50</f>
        <v>Marokko</v>
      </c>
      <c r="F93" s="241">
        <f>IF(AND('World Cup'!$K$51&lt;&gt;"",'World Cup'!$L$51&lt;&gt;""),'World Cup'!$K$51,"")</f>
        <v>0</v>
      </c>
      <c r="G93" s="242">
        <f>IF(AND('World Cup'!$K$51&lt;&gt;"",'World Cup'!$L$51&lt;&gt;""),'World Cup'!$L$51,"")</f>
        <v>0</v>
      </c>
      <c r="I93" s="238">
        <f t="shared" si="1482"/>
        <v>7</v>
      </c>
      <c r="J93" s="239" t="str">
        <f t="shared" si="1483"/>
        <v>Nederland</v>
      </c>
      <c r="K93" s="240">
        <f t="shared" si="1484"/>
        <v>8</v>
      </c>
      <c r="L93" s="239" t="str">
        <f t="shared" si="1485"/>
        <v>Marokko</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f t="shared" si="1431"/>
        <v>2</v>
      </c>
      <c r="V93" s="238">
        <f t="shared" si="1487"/>
        <v>7</v>
      </c>
      <c r="W93" s="239" t="str">
        <f t="shared" si="1488"/>
        <v>Nederland</v>
      </c>
      <c r="X93" s="240">
        <f t="shared" si="1489"/>
        <v>8</v>
      </c>
      <c r="Y93" s="239" t="str">
        <f t="shared" si="1490"/>
        <v>Marokko</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f t="shared" si="1433"/>
        <v>2</v>
      </c>
      <c r="AI93" s="238">
        <f t="shared" si="1492"/>
        <v>7</v>
      </c>
      <c r="AJ93" s="239" t="str">
        <f t="shared" si="1493"/>
        <v>Nederland</v>
      </c>
      <c r="AK93" s="240">
        <f t="shared" si="1494"/>
        <v>8</v>
      </c>
      <c r="AL93" s="239" t="str">
        <f t="shared" si="1495"/>
        <v>Marokko</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f t="shared" si="1435"/>
        <v>2</v>
      </c>
      <c r="AV93" s="238">
        <f t="shared" si="1497"/>
        <v>7</v>
      </c>
      <c r="AW93" s="239" t="str">
        <f t="shared" si="1498"/>
        <v>Nederland</v>
      </c>
      <c r="AX93" s="240">
        <f t="shared" si="1499"/>
        <v>8</v>
      </c>
      <c r="AY93" s="239" t="str">
        <f t="shared" si="1500"/>
        <v>Marokko</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f t="shared" si="1437"/>
        <v>2</v>
      </c>
      <c r="BI93" s="238">
        <f t="shared" si="1502"/>
        <v>7</v>
      </c>
      <c r="BJ93" s="239" t="str">
        <f t="shared" si="1503"/>
        <v>Nederland</v>
      </c>
      <c r="BK93" s="240">
        <f t="shared" si="1504"/>
        <v>8</v>
      </c>
      <c r="BL93" s="239" t="str">
        <f t="shared" si="1505"/>
        <v>Marokko</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f t="shared" si="1439"/>
        <v>2</v>
      </c>
      <c r="BV93" s="238">
        <f t="shared" si="1507"/>
        <v>7</v>
      </c>
      <c r="BW93" s="239" t="str">
        <f t="shared" si="1508"/>
        <v>Nederland</v>
      </c>
      <c r="BX93" s="240">
        <f t="shared" si="1509"/>
        <v>8</v>
      </c>
      <c r="BY93" s="239" t="str">
        <f t="shared" si="1510"/>
        <v>Marokko</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f t="shared" si="1441"/>
        <v>2</v>
      </c>
      <c r="CI93" s="238">
        <f t="shared" si="1512"/>
        <v>7</v>
      </c>
      <c r="CJ93" s="239" t="str">
        <f t="shared" si="1513"/>
        <v>Nederland</v>
      </c>
      <c r="CK93" s="240">
        <f t="shared" si="1514"/>
        <v>8</v>
      </c>
      <c r="CL93" s="239" t="str">
        <f t="shared" si="1515"/>
        <v>Marokko</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f t="shared" si="1443"/>
        <v>2</v>
      </c>
      <c r="CV93" s="238">
        <f t="shared" si="1517"/>
        <v>7</v>
      </c>
      <c r="CW93" s="239" t="str">
        <f t="shared" si="1518"/>
        <v>Nederland</v>
      </c>
      <c r="CX93" s="240">
        <f t="shared" si="1519"/>
        <v>8</v>
      </c>
      <c r="CY93" s="239" t="str">
        <f t="shared" si="1520"/>
        <v>Marokko</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f t="shared" si="1445"/>
        <v>2</v>
      </c>
      <c r="DI93" s="238">
        <f t="shared" si="1522"/>
        <v>7</v>
      </c>
      <c r="DJ93" s="239" t="str">
        <f t="shared" si="1523"/>
        <v>Nederland</v>
      </c>
      <c r="DK93" s="240">
        <f t="shared" si="1524"/>
        <v>8</v>
      </c>
      <c r="DL93" s="239" t="str">
        <f t="shared" si="1525"/>
        <v>Marokko</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f t="shared" si="1447"/>
        <v>2</v>
      </c>
      <c r="DV93" s="238">
        <f t="shared" si="1527"/>
        <v>7</v>
      </c>
      <c r="DW93" s="239" t="str">
        <f t="shared" si="1528"/>
        <v>Nederland</v>
      </c>
      <c r="DX93" s="240">
        <f t="shared" si="1529"/>
        <v>8</v>
      </c>
      <c r="DY93" s="239" t="str">
        <f t="shared" si="1530"/>
        <v>Marokko</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f t="shared" si="1449"/>
        <v>2</v>
      </c>
      <c r="EI93" s="238">
        <f t="shared" si="1532"/>
        <v>7</v>
      </c>
      <c r="EJ93" s="239" t="str">
        <f t="shared" si="1533"/>
        <v>Nederland</v>
      </c>
      <c r="EK93" s="240">
        <f t="shared" si="1534"/>
        <v>8</v>
      </c>
      <c r="EL93" s="239" t="str">
        <f t="shared" si="1535"/>
        <v>Marokko</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f t="shared" si="1451"/>
        <v>2</v>
      </c>
      <c r="EV93" s="238">
        <f t="shared" si="1537"/>
        <v>7</v>
      </c>
      <c r="EW93" s="239" t="str">
        <f t="shared" si="1538"/>
        <v>Nederland</v>
      </c>
      <c r="EX93" s="240">
        <f t="shared" si="1539"/>
        <v>8</v>
      </c>
      <c r="EY93" s="239" t="str">
        <f t="shared" si="1540"/>
        <v>Marokko</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f t="shared" si="1453"/>
        <v>2</v>
      </c>
      <c r="FI93" s="238">
        <f t="shared" si="1542"/>
        <v>7</v>
      </c>
      <c r="FJ93" s="239" t="str">
        <f t="shared" si="1543"/>
        <v>Nederland</v>
      </c>
      <c r="FK93" s="240">
        <f t="shared" si="1544"/>
        <v>8</v>
      </c>
      <c r="FL93" s="239" t="str">
        <f t="shared" si="1545"/>
        <v>Marokko</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f t="shared" si="1455"/>
        <v>2</v>
      </c>
      <c r="FV93" s="238">
        <f t="shared" si="1547"/>
        <v>7</v>
      </c>
      <c r="FW93" s="239" t="str">
        <f t="shared" si="1548"/>
        <v>Nederland</v>
      </c>
      <c r="FX93" s="240">
        <f t="shared" si="1549"/>
        <v>8</v>
      </c>
      <c r="FY93" s="239" t="str">
        <f t="shared" si="1550"/>
        <v>Marokko</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f t="shared" si="1457"/>
        <v>2</v>
      </c>
      <c r="GI93" s="238">
        <f t="shared" si="1552"/>
        <v>7</v>
      </c>
      <c r="GJ93" s="239" t="str">
        <f t="shared" si="1553"/>
        <v>Nederland</v>
      </c>
      <c r="GK93" s="240">
        <f t="shared" si="1554"/>
        <v>8</v>
      </c>
      <c r="GL93" s="239" t="str">
        <f t="shared" si="1555"/>
        <v>Marokko</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f t="shared" si="1459"/>
        <v>2</v>
      </c>
      <c r="GV93" s="238">
        <f t="shared" si="1557"/>
        <v>7</v>
      </c>
      <c r="GW93" s="239" t="str">
        <f t="shared" si="1558"/>
        <v>Nederland</v>
      </c>
      <c r="GX93" s="240">
        <f t="shared" si="1559"/>
        <v>8</v>
      </c>
      <c r="GY93" s="239" t="str">
        <f t="shared" si="1560"/>
        <v>Marokko</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f t="shared" si="1461"/>
        <v>2</v>
      </c>
      <c r="HI93" s="238">
        <f t="shared" si="1562"/>
        <v>7</v>
      </c>
      <c r="HJ93" s="239" t="str">
        <f t="shared" si="1563"/>
        <v>Nederland</v>
      </c>
      <c r="HK93" s="240">
        <f t="shared" si="1564"/>
        <v>8</v>
      </c>
      <c r="HL93" s="239" t="str">
        <f t="shared" si="1565"/>
        <v>Marokko</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f t="shared" si="1463"/>
        <v>2</v>
      </c>
      <c r="HV93" s="238">
        <f t="shared" si="1567"/>
        <v>7</v>
      </c>
      <c r="HW93" s="239" t="str">
        <f t="shared" si="1568"/>
        <v>Nederland</v>
      </c>
      <c r="HX93" s="240">
        <f t="shared" si="1569"/>
        <v>8</v>
      </c>
      <c r="HY93" s="239" t="str">
        <f t="shared" si="1570"/>
        <v>Marokko</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f t="shared" si="1465"/>
        <v>2</v>
      </c>
      <c r="II93" s="238">
        <f t="shared" si="1572"/>
        <v>7</v>
      </c>
      <c r="IJ93" s="239" t="str">
        <f t="shared" si="1573"/>
        <v>Nederland</v>
      </c>
      <c r="IK93" s="240">
        <f t="shared" si="1574"/>
        <v>8</v>
      </c>
      <c r="IL93" s="239" t="str">
        <f t="shared" si="1575"/>
        <v>Marokko</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f t="shared" si="1467"/>
        <v>2</v>
      </c>
      <c r="IV93" s="238">
        <f t="shared" si="1577"/>
        <v>7</v>
      </c>
      <c r="IW93" s="239" t="str">
        <f t="shared" si="1578"/>
        <v>Nederland</v>
      </c>
      <c r="IX93" s="240">
        <f t="shared" si="1579"/>
        <v>8</v>
      </c>
      <c r="IY93" s="239" t="str">
        <f t="shared" si="1580"/>
        <v>Marokko</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f t="shared" si="1469"/>
        <v>2</v>
      </c>
      <c r="JI93" s="238">
        <f t="shared" si="1582"/>
        <v>7</v>
      </c>
      <c r="JJ93" s="239" t="str">
        <f t="shared" si="1583"/>
        <v>Nederland</v>
      </c>
      <c r="JK93" s="240">
        <f t="shared" si="1584"/>
        <v>8</v>
      </c>
      <c r="JL93" s="239" t="str">
        <f t="shared" si="1585"/>
        <v>Marokko</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f t="shared" si="1471"/>
        <v>2</v>
      </c>
      <c r="JV93" s="238">
        <f t="shared" si="1587"/>
        <v>7</v>
      </c>
      <c r="JW93" s="239" t="str">
        <f t="shared" si="1588"/>
        <v>Nederland</v>
      </c>
      <c r="JX93" s="240">
        <f t="shared" si="1589"/>
        <v>8</v>
      </c>
      <c r="JY93" s="239" t="str">
        <f t="shared" si="1590"/>
        <v>Marokko</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f t="shared" si="1473"/>
        <v>2</v>
      </c>
      <c r="KI93" s="238">
        <f t="shared" si="1592"/>
        <v>7</v>
      </c>
      <c r="KJ93" s="239" t="str">
        <f t="shared" si="1593"/>
        <v>Nederland</v>
      </c>
      <c r="KK93" s="240">
        <f t="shared" si="1594"/>
        <v>8</v>
      </c>
      <c r="KL93" s="239" t="str">
        <f t="shared" si="1595"/>
        <v>Marokko</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f t="shared" si="1475"/>
        <v>2</v>
      </c>
      <c r="KV93" s="238">
        <f t="shared" si="1597"/>
        <v>7</v>
      </c>
      <c r="KW93" s="239" t="str">
        <f t="shared" si="1598"/>
        <v>Nederland</v>
      </c>
      <c r="KX93" s="240">
        <f t="shared" si="1599"/>
        <v>8</v>
      </c>
      <c r="KY93" s="239" t="str">
        <f t="shared" si="1600"/>
        <v>Marokko</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f t="shared" si="1477"/>
        <v>2</v>
      </c>
      <c r="LI93" s="238">
        <f t="shared" si="1602"/>
        <v>7</v>
      </c>
      <c r="LJ93" s="239" t="str">
        <f t="shared" si="1603"/>
        <v>Nederland</v>
      </c>
      <c r="LK93" s="240">
        <f t="shared" si="1604"/>
        <v>8</v>
      </c>
      <c r="LL93" s="239" t="str">
        <f t="shared" si="1605"/>
        <v>Marokko</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f t="shared" si="1479"/>
        <v>2</v>
      </c>
      <c r="LV93" s="238">
        <f t="shared" si="1607"/>
        <v>7</v>
      </c>
      <c r="LW93" s="239" t="str">
        <f t="shared" si="1608"/>
        <v>Nederland</v>
      </c>
      <c r="LX93" s="240">
        <f t="shared" si="1609"/>
        <v>8</v>
      </c>
      <c r="LY93" s="239" t="str">
        <f t="shared" si="1610"/>
        <v>Marokko</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f t="shared" si="1481"/>
        <v>2</v>
      </c>
    </row>
    <row r="94" spans="1:34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f>
        <v>0</v>
      </c>
      <c r="G94" s="242">
        <f>IF(AND('World Cup'!$N$51&lt;&gt;"",'World Cup'!$O$51&lt;&gt;""),'World Cup'!$O$51,"")</f>
        <v>0</v>
      </c>
      <c r="I94" s="238">
        <f t="shared" si="1482"/>
        <v>13</v>
      </c>
      <c r="J94" s="239" t="str">
        <f t="shared" si="1483"/>
        <v>Colombia</v>
      </c>
      <c r="K94" s="240">
        <f t="shared" si="1484"/>
        <v>11</v>
      </c>
      <c r="L94" s="239" t="str">
        <f t="shared" si="1485"/>
        <v>Kroatië</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f t="shared" si="1431"/>
        <v>2</v>
      </c>
      <c r="V94" s="238">
        <f t="shared" si="1487"/>
        <v>13</v>
      </c>
      <c r="W94" s="239" t="str">
        <f t="shared" si="1488"/>
        <v>Colombia</v>
      </c>
      <c r="X94" s="240">
        <f t="shared" si="1489"/>
        <v>11</v>
      </c>
      <c r="Y94" s="239" t="str">
        <f t="shared" si="1490"/>
        <v>Kroatië</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f t="shared" si="1433"/>
        <v>2</v>
      </c>
      <c r="AI94" s="238">
        <f t="shared" si="1492"/>
        <v>13</v>
      </c>
      <c r="AJ94" s="239" t="str">
        <f t="shared" si="1493"/>
        <v>Colombia</v>
      </c>
      <c r="AK94" s="240">
        <f t="shared" si="1494"/>
        <v>11</v>
      </c>
      <c r="AL94" s="239" t="str">
        <f t="shared" si="1495"/>
        <v>Kroatië</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f t="shared" si="1435"/>
        <v>2</v>
      </c>
      <c r="AV94" s="238">
        <f t="shared" si="1497"/>
        <v>13</v>
      </c>
      <c r="AW94" s="239" t="str">
        <f t="shared" si="1498"/>
        <v>Colombia</v>
      </c>
      <c r="AX94" s="240">
        <f t="shared" si="1499"/>
        <v>11</v>
      </c>
      <c r="AY94" s="239" t="str">
        <f t="shared" si="1500"/>
        <v>Kroatië</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f t="shared" si="1437"/>
        <v>2</v>
      </c>
      <c r="BI94" s="238">
        <f t="shared" si="1502"/>
        <v>13</v>
      </c>
      <c r="BJ94" s="239" t="str">
        <f t="shared" si="1503"/>
        <v>Colombia</v>
      </c>
      <c r="BK94" s="240">
        <f t="shared" si="1504"/>
        <v>11</v>
      </c>
      <c r="BL94" s="239" t="str">
        <f t="shared" si="1505"/>
        <v>Kroatië</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f t="shared" si="1439"/>
        <v>2</v>
      </c>
      <c r="BV94" s="238">
        <f t="shared" si="1507"/>
        <v>13</v>
      </c>
      <c r="BW94" s="239" t="str">
        <f t="shared" si="1508"/>
        <v>Colombia</v>
      </c>
      <c r="BX94" s="240">
        <f t="shared" si="1509"/>
        <v>11</v>
      </c>
      <c r="BY94" s="239" t="str">
        <f t="shared" si="1510"/>
        <v>Kroatië</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f t="shared" si="1441"/>
        <v>2</v>
      </c>
      <c r="CI94" s="238">
        <f t="shared" si="1512"/>
        <v>13</v>
      </c>
      <c r="CJ94" s="239" t="str">
        <f t="shared" si="1513"/>
        <v>Colombia</v>
      </c>
      <c r="CK94" s="240">
        <f t="shared" si="1514"/>
        <v>11</v>
      </c>
      <c r="CL94" s="239" t="str">
        <f t="shared" si="1515"/>
        <v>Kroatië</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f t="shared" si="1443"/>
        <v>2</v>
      </c>
      <c r="CV94" s="238">
        <f t="shared" si="1517"/>
        <v>13</v>
      </c>
      <c r="CW94" s="239" t="str">
        <f t="shared" si="1518"/>
        <v>Colombia</v>
      </c>
      <c r="CX94" s="240">
        <f t="shared" si="1519"/>
        <v>11</v>
      </c>
      <c r="CY94" s="239" t="str">
        <f t="shared" si="1520"/>
        <v>Kroatië</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f t="shared" si="1445"/>
        <v>2</v>
      </c>
      <c r="DI94" s="238">
        <f t="shared" si="1522"/>
        <v>13</v>
      </c>
      <c r="DJ94" s="239" t="str">
        <f t="shared" si="1523"/>
        <v>Colombia</v>
      </c>
      <c r="DK94" s="240">
        <f t="shared" si="1524"/>
        <v>11</v>
      </c>
      <c r="DL94" s="239" t="str">
        <f t="shared" si="1525"/>
        <v>Kroatië</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f t="shared" si="1447"/>
        <v>2</v>
      </c>
      <c r="DV94" s="238">
        <f t="shared" si="1527"/>
        <v>13</v>
      </c>
      <c r="DW94" s="239" t="str">
        <f t="shared" si="1528"/>
        <v>Colombia</v>
      </c>
      <c r="DX94" s="240">
        <f t="shared" si="1529"/>
        <v>11</v>
      </c>
      <c r="DY94" s="239" t="str">
        <f t="shared" si="1530"/>
        <v>Kroatië</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f t="shared" si="1449"/>
        <v>2</v>
      </c>
      <c r="EI94" s="238">
        <f t="shared" si="1532"/>
        <v>13</v>
      </c>
      <c r="EJ94" s="239" t="str">
        <f t="shared" si="1533"/>
        <v>Colombia</v>
      </c>
      <c r="EK94" s="240">
        <f t="shared" si="1534"/>
        <v>11</v>
      </c>
      <c r="EL94" s="239" t="str">
        <f t="shared" si="1535"/>
        <v>Kroatië</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f t="shared" si="1451"/>
        <v>2</v>
      </c>
      <c r="EV94" s="238">
        <f t="shared" si="1537"/>
        <v>13</v>
      </c>
      <c r="EW94" s="239" t="str">
        <f t="shared" si="1538"/>
        <v>Colombia</v>
      </c>
      <c r="EX94" s="240">
        <f t="shared" si="1539"/>
        <v>11</v>
      </c>
      <c r="EY94" s="239" t="str">
        <f t="shared" si="1540"/>
        <v>Kroatië</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f t="shared" si="1453"/>
        <v>2</v>
      </c>
      <c r="FI94" s="238">
        <f t="shared" si="1542"/>
        <v>13</v>
      </c>
      <c r="FJ94" s="239" t="str">
        <f t="shared" si="1543"/>
        <v>Colombia</v>
      </c>
      <c r="FK94" s="240">
        <f t="shared" si="1544"/>
        <v>11</v>
      </c>
      <c r="FL94" s="239" t="str">
        <f t="shared" si="1545"/>
        <v>Kroatië</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f t="shared" si="1455"/>
        <v>2</v>
      </c>
      <c r="FV94" s="238">
        <f t="shared" si="1547"/>
        <v>13</v>
      </c>
      <c r="FW94" s="239" t="str">
        <f t="shared" si="1548"/>
        <v>Colombia</v>
      </c>
      <c r="FX94" s="240">
        <f t="shared" si="1549"/>
        <v>11</v>
      </c>
      <c r="FY94" s="239" t="str">
        <f t="shared" si="1550"/>
        <v>Kroatië</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f t="shared" si="1457"/>
        <v>2</v>
      </c>
      <c r="GI94" s="238">
        <f t="shared" si="1552"/>
        <v>13</v>
      </c>
      <c r="GJ94" s="239" t="str">
        <f t="shared" si="1553"/>
        <v>Colombia</v>
      </c>
      <c r="GK94" s="240">
        <f t="shared" si="1554"/>
        <v>11</v>
      </c>
      <c r="GL94" s="239" t="str">
        <f t="shared" si="1555"/>
        <v>Kroatië</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f t="shared" si="1459"/>
        <v>2</v>
      </c>
      <c r="GV94" s="238">
        <f t="shared" si="1557"/>
        <v>13</v>
      </c>
      <c r="GW94" s="239" t="str">
        <f t="shared" si="1558"/>
        <v>Colombia</v>
      </c>
      <c r="GX94" s="240">
        <f t="shared" si="1559"/>
        <v>11</v>
      </c>
      <c r="GY94" s="239" t="str">
        <f t="shared" si="1560"/>
        <v>Kroatië</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f t="shared" si="1461"/>
        <v>2</v>
      </c>
      <c r="HI94" s="238">
        <f t="shared" si="1562"/>
        <v>13</v>
      </c>
      <c r="HJ94" s="239" t="str">
        <f t="shared" si="1563"/>
        <v>Colombia</v>
      </c>
      <c r="HK94" s="240">
        <f t="shared" si="1564"/>
        <v>11</v>
      </c>
      <c r="HL94" s="239" t="str">
        <f t="shared" si="1565"/>
        <v>Kroatië</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f t="shared" si="1463"/>
        <v>2</v>
      </c>
      <c r="HV94" s="238">
        <f t="shared" si="1567"/>
        <v>13</v>
      </c>
      <c r="HW94" s="239" t="str">
        <f t="shared" si="1568"/>
        <v>Colombia</v>
      </c>
      <c r="HX94" s="240">
        <f t="shared" si="1569"/>
        <v>11</v>
      </c>
      <c r="HY94" s="239" t="str">
        <f t="shared" si="1570"/>
        <v>Kroatië</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f t="shared" si="1465"/>
        <v>2</v>
      </c>
      <c r="II94" s="238">
        <f t="shared" si="1572"/>
        <v>13</v>
      </c>
      <c r="IJ94" s="239" t="str">
        <f t="shared" si="1573"/>
        <v>Colombia</v>
      </c>
      <c r="IK94" s="240">
        <f t="shared" si="1574"/>
        <v>11</v>
      </c>
      <c r="IL94" s="239" t="str">
        <f t="shared" si="1575"/>
        <v>Kroatië</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f t="shared" si="1467"/>
        <v>2</v>
      </c>
      <c r="IV94" s="238">
        <f t="shared" si="1577"/>
        <v>13</v>
      </c>
      <c r="IW94" s="239" t="str">
        <f t="shared" si="1578"/>
        <v>Colombia</v>
      </c>
      <c r="IX94" s="240">
        <f t="shared" si="1579"/>
        <v>11</v>
      </c>
      <c r="IY94" s="239" t="str">
        <f t="shared" si="1580"/>
        <v>Kroatië</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f t="shared" si="1469"/>
        <v>2</v>
      </c>
      <c r="JI94" s="238">
        <f t="shared" si="1582"/>
        <v>13</v>
      </c>
      <c r="JJ94" s="239" t="str">
        <f t="shared" si="1583"/>
        <v>Colombia</v>
      </c>
      <c r="JK94" s="240">
        <f t="shared" si="1584"/>
        <v>11</v>
      </c>
      <c r="JL94" s="239" t="str">
        <f t="shared" si="1585"/>
        <v>Kroatië</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f t="shared" si="1471"/>
        <v>2</v>
      </c>
      <c r="JV94" s="238">
        <f t="shared" si="1587"/>
        <v>13</v>
      </c>
      <c r="JW94" s="239" t="str">
        <f t="shared" si="1588"/>
        <v>Colombia</v>
      </c>
      <c r="JX94" s="240">
        <f t="shared" si="1589"/>
        <v>11</v>
      </c>
      <c r="JY94" s="239" t="str">
        <f t="shared" si="1590"/>
        <v>Kroatië</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f t="shared" si="1473"/>
        <v>2</v>
      </c>
      <c r="KI94" s="238">
        <f t="shared" si="1592"/>
        <v>13</v>
      </c>
      <c r="KJ94" s="239" t="str">
        <f t="shared" si="1593"/>
        <v>Colombia</v>
      </c>
      <c r="KK94" s="240">
        <f t="shared" si="1594"/>
        <v>11</v>
      </c>
      <c r="KL94" s="239" t="str">
        <f t="shared" si="1595"/>
        <v>Kroatië</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f t="shared" si="1475"/>
        <v>2</v>
      </c>
      <c r="KV94" s="238">
        <f t="shared" si="1597"/>
        <v>13</v>
      </c>
      <c r="KW94" s="239" t="str">
        <f t="shared" si="1598"/>
        <v>Colombia</v>
      </c>
      <c r="KX94" s="240">
        <f t="shared" si="1599"/>
        <v>11</v>
      </c>
      <c r="KY94" s="239" t="str">
        <f t="shared" si="1600"/>
        <v>Kroatië</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f t="shared" si="1477"/>
        <v>2</v>
      </c>
      <c r="LI94" s="238">
        <f t="shared" si="1602"/>
        <v>13</v>
      </c>
      <c r="LJ94" s="239" t="str">
        <f t="shared" si="1603"/>
        <v>Colombia</v>
      </c>
      <c r="LK94" s="240">
        <f t="shared" si="1604"/>
        <v>11</v>
      </c>
      <c r="LL94" s="239" t="str">
        <f t="shared" si="1605"/>
        <v>Kroatië</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f t="shared" si="1479"/>
        <v>2</v>
      </c>
      <c r="LV94" s="238">
        <f t="shared" si="1607"/>
        <v>13</v>
      </c>
      <c r="LW94" s="239" t="str">
        <f t="shared" si="1608"/>
        <v>Colombia</v>
      </c>
      <c r="LX94" s="240">
        <f t="shared" si="1609"/>
        <v>11</v>
      </c>
      <c r="LY94" s="239" t="str">
        <f t="shared" si="1610"/>
        <v>Kroatië</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f t="shared" si="1481"/>
        <v>2</v>
      </c>
    </row>
    <row r="95" spans="1:345">
      <c r="B95" s="238">
        <f>IF(C95="","",INDEX(Groups!$C$7:$C$65,MATCH(C95,Groups!$D$7:$D$65,0)))</f>
        <v>2</v>
      </c>
      <c r="C95" s="239" t="str">
        <f>'World Cup'!$Q$50</f>
        <v>Spanje</v>
      </c>
      <c r="D95" s="240">
        <f>IF(E95="","",INDEX(Groups!$C$7:$C$65,MATCH(E95,Groups!$D$7:$D$65,0)))</f>
        <v>24</v>
      </c>
      <c r="E95" s="239" t="str">
        <f>'World Cup'!$R$50</f>
        <v>Oostenrijk</v>
      </c>
      <c r="F95" s="241">
        <f>IF(AND('World Cup'!$Q$51&lt;&gt;"",'World Cup'!$R$51&lt;&gt;""),'World Cup'!$Q$51,"")</f>
        <v>0</v>
      </c>
      <c r="G95" s="242">
        <f>IF(AND('World Cup'!$Q$51&lt;&gt;"",'World Cup'!$R$51&lt;&gt;""),'World Cup'!$R$51,"")</f>
        <v>0</v>
      </c>
      <c r="I95" s="238">
        <f t="shared" si="1482"/>
        <v>2</v>
      </c>
      <c r="J95" s="239" t="str">
        <f t="shared" si="1483"/>
        <v>Spanje</v>
      </c>
      <c r="K95" s="240">
        <f t="shared" si="1484"/>
        <v>24</v>
      </c>
      <c r="L95" s="239" t="str">
        <f t="shared" si="1485"/>
        <v>Oostenrijk</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f t="shared" si="1431"/>
        <v>2</v>
      </c>
      <c r="V95" s="238">
        <f t="shared" si="1487"/>
        <v>2</v>
      </c>
      <c r="W95" s="239" t="str">
        <f t="shared" si="1488"/>
        <v>Spanje</v>
      </c>
      <c r="X95" s="240">
        <f t="shared" si="1489"/>
        <v>24</v>
      </c>
      <c r="Y95" s="239" t="str">
        <f t="shared" si="1490"/>
        <v>Oostenrijk</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f t="shared" si="1433"/>
        <v>2</v>
      </c>
      <c r="AI95" s="238">
        <f t="shared" si="1492"/>
        <v>2</v>
      </c>
      <c r="AJ95" s="239" t="str">
        <f t="shared" si="1493"/>
        <v>Spanje</v>
      </c>
      <c r="AK95" s="240">
        <f t="shared" si="1494"/>
        <v>24</v>
      </c>
      <c r="AL95" s="239" t="str">
        <f t="shared" si="1495"/>
        <v>Oostenrijk</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f t="shared" si="1435"/>
        <v>2</v>
      </c>
      <c r="AV95" s="238">
        <f t="shared" si="1497"/>
        <v>2</v>
      </c>
      <c r="AW95" s="239" t="str">
        <f t="shared" si="1498"/>
        <v>Spanje</v>
      </c>
      <c r="AX95" s="240">
        <f t="shared" si="1499"/>
        <v>24</v>
      </c>
      <c r="AY95" s="239" t="str">
        <f t="shared" si="1500"/>
        <v>Oostenrijk</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f t="shared" si="1437"/>
        <v>2</v>
      </c>
      <c r="BI95" s="238">
        <f t="shared" si="1502"/>
        <v>2</v>
      </c>
      <c r="BJ95" s="239" t="str">
        <f t="shared" si="1503"/>
        <v>Spanje</v>
      </c>
      <c r="BK95" s="240">
        <f t="shared" si="1504"/>
        <v>24</v>
      </c>
      <c r="BL95" s="239" t="str">
        <f t="shared" si="1505"/>
        <v>Oostenrijk</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f t="shared" si="1439"/>
        <v>2</v>
      </c>
      <c r="BV95" s="238">
        <f t="shared" si="1507"/>
        <v>2</v>
      </c>
      <c r="BW95" s="239" t="str">
        <f t="shared" si="1508"/>
        <v>Spanje</v>
      </c>
      <c r="BX95" s="240">
        <f t="shared" si="1509"/>
        <v>24</v>
      </c>
      <c r="BY95" s="239" t="str">
        <f t="shared" si="1510"/>
        <v>Oostenrijk</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f t="shared" si="1441"/>
        <v>2</v>
      </c>
      <c r="CI95" s="238">
        <f t="shared" si="1512"/>
        <v>2</v>
      </c>
      <c r="CJ95" s="239" t="str">
        <f t="shared" si="1513"/>
        <v>Spanje</v>
      </c>
      <c r="CK95" s="240">
        <f t="shared" si="1514"/>
        <v>24</v>
      </c>
      <c r="CL95" s="239" t="str">
        <f t="shared" si="1515"/>
        <v>Oostenrijk</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f t="shared" si="1443"/>
        <v>2</v>
      </c>
      <c r="CV95" s="238">
        <f t="shared" si="1517"/>
        <v>2</v>
      </c>
      <c r="CW95" s="239" t="str">
        <f t="shared" si="1518"/>
        <v>Spanje</v>
      </c>
      <c r="CX95" s="240">
        <f t="shared" si="1519"/>
        <v>24</v>
      </c>
      <c r="CY95" s="239" t="str">
        <f t="shared" si="1520"/>
        <v>Oostenrijk</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f t="shared" si="1445"/>
        <v>2</v>
      </c>
      <c r="DI95" s="238">
        <f t="shared" si="1522"/>
        <v>2</v>
      </c>
      <c r="DJ95" s="239" t="str">
        <f t="shared" si="1523"/>
        <v>Spanje</v>
      </c>
      <c r="DK95" s="240">
        <f t="shared" si="1524"/>
        <v>24</v>
      </c>
      <c r="DL95" s="239" t="str">
        <f t="shared" si="1525"/>
        <v>Oostenrijk</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f t="shared" si="1447"/>
        <v>2</v>
      </c>
      <c r="DV95" s="238">
        <f t="shared" si="1527"/>
        <v>2</v>
      </c>
      <c r="DW95" s="239" t="str">
        <f t="shared" si="1528"/>
        <v>Spanje</v>
      </c>
      <c r="DX95" s="240">
        <f t="shared" si="1529"/>
        <v>24</v>
      </c>
      <c r="DY95" s="239" t="str">
        <f t="shared" si="1530"/>
        <v>Oostenrijk</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f t="shared" si="1449"/>
        <v>2</v>
      </c>
      <c r="EI95" s="238">
        <f t="shared" si="1532"/>
        <v>2</v>
      </c>
      <c r="EJ95" s="239" t="str">
        <f t="shared" si="1533"/>
        <v>Spanje</v>
      </c>
      <c r="EK95" s="240">
        <f t="shared" si="1534"/>
        <v>24</v>
      </c>
      <c r="EL95" s="239" t="str">
        <f t="shared" si="1535"/>
        <v>Oostenrijk</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f t="shared" si="1451"/>
        <v>2</v>
      </c>
      <c r="EV95" s="238">
        <f t="shared" si="1537"/>
        <v>2</v>
      </c>
      <c r="EW95" s="239" t="str">
        <f t="shared" si="1538"/>
        <v>Spanje</v>
      </c>
      <c r="EX95" s="240">
        <f t="shared" si="1539"/>
        <v>24</v>
      </c>
      <c r="EY95" s="239" t="str">
        <f t="shared" si="1540"/>
        <v>Oostenrijk</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f t="shared" si="1453"/>
        <v>2</v>
      </c>
      <c r="FI95" s="238">
        <f t="shared" si="1542"/>
        <v>2</v>
      </c>
      <c r="FJ95" s="239" t="str">
        <f t="shared" si="1543"/>
        <v>Spanje</v>
      </c>
      <c r="FK95" s="240">
        <f t="shared" si="1544"/>
        <v>24</v>
      </c>
      <c r="FL95" s="239" t="str">
        <f t="shared" si="1545"/>
        <v>Oostenrijk</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f t="shared" si="1455"/>
        <v>2</v>
      </c>
      <c r="FV95" s="238">
        <f t="shared" si="1547"/>
        <v>2</v>
      </c>
      <c r="FW95" s="239" t="str">
        <f t="shared" si="1548"/>
        <v>Spanje</v>
      </c>
      <c r="FX95" s="240">
        <f t="shared" si="1549"/>
        <v>24</v>
      </c>
      <c r="FY95" s="239" t="str">
        <f t="shared" si="1550"/>
        <v>Oostenrijk</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f t="shared" si="1457"/>
        <v>2</v>
      </c>
      <c r="GI95" s="238">
        <f t="shared" si="1552"/>
        <v>2</v>
      </c>
      <c r="GJ95" s="239" t="str">
        <f t="shared" si="1553"/>
        <v>Spanje</v>
      </c>
      <c r="GK95" s="240">
        <f t="shared" si="1554"/>
        <v>24</v>
      </c>
      <c r="GL95" s="239" t="str">
        <f t="shared" si="1555"/>
        <v>Oostenrijk</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f t="shared" si="1459"/>
        <v>2</v>
      </c>
      <c r="GV95" s="238">
        <f t="shared" si="1557"/>
        <v>2</v>
      </c>
      <c r="GW95" s="239" t="str">
        <f t="shared" si="1558"/>
        <v>Spanje</v>
      </c>
      <c r="GX95" s="240">
        <f t="shared" si="1559"/>
        <v>24</v>
      </c>
      <c r="GY95" s="239" t="str">
        <f t="shared" si="1560"/>
        <v>Oostenrijk</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f t="shared" si="1461"/>
        <v>2</v>
      </c>
      <c r="HI95" s="238">
        <f t="shared" si="1562"/>
        <v>2</v>
      </c>
      <c r="HJ95" s="239" t="str">
        <f t="shared" si="1563"/>
        <v>Spanje</v>
      </c>
      <c r="HK95" s="240">
        <f t="shared" si="1564"/>
        <v>24</v>
      </c>
      <c r="HL95" s="239" t="str">
        <f t="shared" si="1565"/>
        <v>Oostenrijk</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f t="shared" si="1463"/>
        <v>2</v>
      </c>
      <c r="HV95" s="238">
        <f t="shared" si="1567"/>
        <v>2</v>
      </c>
      <c r="HW95" s="239" t="str">
        <f t="shared" si="1568"/>
        <v>Spanje</v>
      </c>
      <c r="HX95" s="240">
        <f t="shared" si="1569"/>
        <v>24</v>
      </c>
      <c r="HY95" s="239" t="str">
        <f t="shared" si="1570"/>
        <v>Oostenrijk</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f t="shared" si="1465"/>
        <v>2</v>
      </c>
      <c r="II95" s="238">
        <f t="shared" si="1572"/>
        <v>2</v>
      </c>
      <c r="IJ95" s="239" t="str">
        <f t="shared" si="1573"/>
        <v>Spanje</v>
      </c>
      <c r="IK95" s="240">
        <f t="shared" si="1574"/>
        <v>24</v>
      </c>
      <c r="IL95" s="239" t="str">
        <f t="shared" si="1575"/>
        <v>Oostenrijk</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f t="shared" si="1467"/>
        <v>2</v>
      </c>
      <c r="IV95" s="238">
        <f t="shared" si="1577"/>
        <v>2</v>
      </c>
      <c r="IW95" s="239" t="str">
        <f t="shared" si="1578"/>
        <v>Spanje</v>
      </c>
      <c r="IX95" s="240">
        <f t="shared" si="1579"/>
        <v>24</v>
      </c>
      <c r="IY95" s="239" t="str">
        <f t="shared" si="1580"/>
        <v>Oostenrijk</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f t="shared" si="1469"/>
        <v>2</v>
      </c>
      <c r="JI95" s="238">
        <f t="shared" si="1582"/>
        <v>2</v>
      </c>
      <c r="JJ95" s="239" t="str">
        <f t="shared" si="1583"/>
        <v>Spanje</v>
      </c>
      <c r="JK95" s="240">
        <f t="shared" si="1584"/>
        <v>24</v>
      </c>
      <c r="JL95" s="239" t="str">
        <f t="shared" si="1585"/>
        <v>Oostenrijk</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f t="shared" si="1471"/>
        <v>2</v>
      </c>
      <c r="JV95" s="238">
        <f t="shared" si="1587"/>
        <v>2</v>
      </c>
      <c r="JW95" s="239" t="str">
        <f t="shared" si="1588"/>
        <v>Spanje</v>
      </c>
      <c r="JX95" s="240">
        <f t="shared" si="1589"/>
        <v>24</v>
      </c>
      <c r="JY95" s="239" t="str">
        <f t="shared" si="1590"/>
        <v>Oostenrijk</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f t="shared" si="1473"/>
        <v>2</v>
      </c>
      <c r="KI95" s="238">
        <f t="shared" si="1592"/>
        <v>2</v>
      </c>
      <c r="KJ95" s="239" t="str">
        <f t="shared" si="1593"/>
        <v>Spanje</v>
      </c>
      <c r="KK95" s="240">
        <f t="shared" si="1594"/>
        <v>24</v>
      </c>
      <c r="KL95" s="239" t="str">
        <f t="shared" si="1595"/>
        <v>Oostenrijk</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f t="shared" si="1475"/>
        <v>2</v>
      </c>
      <c r="KV95" s="238">
        <f t="shared" si="1597"/>
        <v>2</v>
      </c>
      <c r="KW95" s="239" t="str">
        <f t="shared" si="1598"/>
        <v>Spanje</v>
      </c>
      <c r="KX95" s="240">
        <f t="shared" si="1599"/>
        <v>24</v>
      </c>
      <c r="KY95" s="239" t="str">
        <f t="shared" si="1600"/>
        <v>Oostenrijk</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f t="shared" si="1477"/>
        <v>2</v>
      </c>
      <c r="LI95" s="238">
        <f t="shared" si="1602"/>
        <v>2</v>
      </c>
      <c r="LJ95" s="239" t="str">
        <f t="shared" si="1603"/>
        <v>Spanje</v>
      </c>
      <c r="LK95" s="240">
        <f t="shared" si="1604"/>
        <v>24</v>
      </c>
      <c r="LL95" s="239" t="str">
        <f t="shared" si="1605"/>
        <v>Oostenrijk</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f t="shared" si="1479"/>
        <v>2</v>
      </c>
      <c r="LV95" s="238">
        <f t="shared" si="1607"/>
        <v>2</v>
      </c>
      <c r="LW95" s="239" t="str">
        <f t="shared" si="1608"/>
        <v>Spanje</v>
      </c>
      <c r="LX95" s="240">
        <f t="shared" si="1609"/>
        <v>24</v>
      </c>
      <c r="LY95" s="239" t="str">
        <f t="shared" si="1610"/>
        <v>Oostenrijk</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f t="shared" si="1481"/>
        <v>2</v>
      </c>
    </row>
    <row r="96" spans="1:345">
      <c r="B96" s="238">
        <f>IF(C96="","",INDEX(Groups!$C$7:$C$65,MATCH(C96,Groups!$D$7:$D$65,0)))</f>
        <v>16</v>
      </c>
      <c r="C96" s="239" t="str">
        <f>'World Cup'!$T$50</f>
        <v>USA</v>
      </c>
      <c r="D96" s="240">
        <f>IF(E96="","",INDEX(Groups!$C$7:$C$65,MATCH(E96,Groups!$D$7:$D$65,0)))</f>
        <v>34</v>
      </c>
      <c r="E96" s="239" t="str">
        <f>'World Cup'!$U$50</f>
        <v>Ivoorkust</v>
      </c>
      <c r="F96" s="241">
        <f>IF(AND('World Cup'!$T$51&lt;&gt;"",'World Cup'!$U$51&lt;&gt;""),'World Cup'!$T$51,"")</f>
        <v>0</v>
      </c>
      <c r="G96" s="242">
        <f>IF(AND('World Cup'!$T$51&lt;&gt;"",'World Cup'!$U$51&lt;&gt;""),'World Cup'!$U$51,"")</f>
        <v>0</v>
      </c>
      <c r="I96" s="238">
        <f t="shared" si="1482"/>
        <v>16</v>
      </c>
      <c r="J96" s="239" t="str">
        <f t="shared" si="1483"/>
        <v>USA</v>
      </c>
      <c r="K96" s="240">
        <f t="shared" si="1484"/>
        <v>34</v>
      </c>
      <c r="L96" s="239" t="str">
        <f t="shared" si="1485"/>
        <v>Ivoorkust</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f t="shared" si="1431"/>
        <v>2</v>
      </c>
      <c r="V96" s="238">
        <f t="shared" si="1487"/>
        <v>16</v>
      </c>
      <c r="W96" s="239" t="str">
        <f t="shared" si="1488"/>
        <v>USA</v>
      </c>
      <c r="X96" s="240">
        <f t="shared" si="1489"/>
        <v>34</v>
      </c>
      <c r="Y96" s="239" t="str">
        <f t="shared" si="1490"/>
        <v>Ivoorkust</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f t="shared" si="1433"/>
        <v>2</v>
      </c>
      <c r="AI96" s="238">
        <f t="shared" si="1492"/>
        <v>16</v>
      </c>
      <c r="AJ96" s="239" t="str">
        <f t="shared" si="1493"/>
        <v>USA</v>
      </c>
      <c r="AK96" s="240">
        <f t="shared" si="1494"/>
        <v>34</v>
      </c>
      <c r="AL96" s="239" t="str">
        <f t="shared" si="1495"/>
        <v>Ivoorkust</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f t="shared" si="1435"/>
        <v>2</v>
      </c>
      <c r="AV96" s="238">
        <f t="shared" si="1497"/>
        <v>16</v>
      </c>
      <c r="AW96" s="239" t="str">
        <f t="shared" si="1498"/>
        <v>USA</v>
      </c>
      <c r="AX96" s="240">
        <f t="shared" si="1499"/>
        <v>34</v>
      </c>
      <c r="AY96" s="239" t="str">
        <f t="shared" si="1500"/>
        <v>Ivoorkust</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f t="shared" si="1437"/>
        <v>2</v>
      </c>
      <c r="BI96" s="238">
        <f t="shared" si="1502"/>
        <v>16</v>
      </c>
      <c r="BJ96" s="239" t="str">
        <f t="shared" si="1503"/>
        <v>USA</v>
      </c>
      <c r="BK96" s="240">
        <f t="shared" si="1504"/>
        <v>34</v>
      </c>
      <c r="BL96" s="239" t="str">
        <f t="shared" si="1505"/>
        <v>Ivoorkust</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f t="shared" si="1439"/>
        <v>2</v>
      </c>
      <c r="BV96" s="238">
        <f t="shared" si="1507"/>
        <v>16</v>
      </c>
      <c r="BW96" s="239" t="str">
        <f t="shared" si="1508"/>
        <v>USA</v>
      </c>
      <c r="BX96" s="240">
        <f t="shared" si="1509"/>
        <v>34</v>
      </c>
      <c r="BY96" s="239" t="str">
        <f t="shared" si="1510"/>
        <v>Ivoorkust</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f t="shared" si="1441"/>
        <v>2</v>
      </c>
      <c r="CI96" s="238">
        <f t="shared" si="1512"/>
        <v>16</v>
      </c>
      <c r="CJ96" s="239" t="str">
        <f t="shared" si="1513"/>
        <v>USA</v>
      </c>
      <c r="CK96" s="240">
        <f t="shared" si="1514"/>
        <v>34</v>
      </c>
      <c r="CL96" s="239" t="str">
        <f t="shared" si="1515"/>
        <v>Ivoorkust</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f t="shared" si="1443"/>
        <v>2</v>
      </c>
      <c r="CV96" s="238">
        <f t="shared" si="1517"/>
        <v>16</v>
      </c>
      <c r="CW96" s="239" t="str">
        <f t="shared" si="1518"/>
        <v>USA</v>
      </c>
      <c r="CX96" s="240">
        <f t="shared" si="1519"/>
        <v>34</v>
      </c>
      <c r="CY96" s="239" t="str">
        <f t="shared" si="1520"/>
        <v>Ivoorkust</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f t="shared" si="1445"/>
        <v>2</v>
      </c>
      <c r="DI96" s="238">
        <f t="shared" si="1522"/>
        <v>16</v>
      </c>
      <c r="DJ96" s="239" t="str">
        <f t="shared" si="1523"/>
        <v>USA</v>
      </c>
      <c r="DK96" s="240">
        <f t="shared" si="1524"/>
        <v>34</v>
      </c>
      <c r="DL96" s="239" t="str">
        <f t="shared" si="1525"/>
        <v>Ivoorkust</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f t="shared" si="1447"/>
        <v>2</v>
      </c>
      <c r="DV96" s="238">
        <f t="shared" si="1527"/>
        <v>16</v>
      </c>
      <c r="DW96" s="239" t="str">
        <f t="shared" si="1528"/>
        <v>USA</v>
      </c>
      <c r="DX96" s="240">
        <f t="shared" si="1529"/>
        <v>34</v>
      </c>
      <c r="DY96" s="239" t="str">
        <f t="shared" si="1530"/>
        <v>Ivoorkust</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f t="shared" si="1449"/>
        <v>2</v>
      </c>
      <c r="EI96" s="238">
        <f t="shared" si="1532"/>
        <v>16</v>
      </c>
      <c r="EJ96" s="239" t="str">
        <f t="shared" si="1533"/>
        <v>USA</v>
      </c>
      <c r="EK96" s="240">
        <f t="shared" si="1534"/>
        <v>34</v>
      </c>
      <c r="EL96" s="239" t="str">
        <f t="shared" si="1535"/>
        <v>Ivoorkust</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f t="shared" si="1451"/>
        <v>2</v>
      </c>
      <c r="EV96" s="238">
        <f t="shared" si="1537"/>
        <v>16</v>
      </c>
      <c r="EW96" s="239" t="str">
        <f t="shared" si="1538"/>
        <v>USA</v>
      </c>
      <c r="EX96" s="240">
        <f t="shared" si="1539"/>
        <v>34</v>
      </c>
      <c r="EY96" s="239" t="str">
        <f t="shared" si="1540"/>
        <v>Ivoorkust</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f t="shared" si="1453"/>
        <v>2</v>
      </c>
      <c r="FI96" s="238">
        <f t="shared" si="1542"/>
        <v>16</v>
      </c>
      <c r="FJ96" s="239" t="str">
        <f t="shared" si="1543"/>
        <v>USA</v>
      </c>
      <c r="FK96" s="240">
        <f t="shared" si="1544"/>
        <v>34</v>
      </c>
      <c r="FL96" s="239" t="str">
        <f t="shared" si="1545"/>
        <v>Ivoorkust</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f t="shared" si="1455"/>
        <v>2</v>
      </c>
      <c r="FV96" s="238">
        <f t="shared" si="1547"/>
        <v>16</v>
      </c>
      <c r="FW96" s="239" t="str">
        <f t="shared" si="1548"/>
        <v>USA</v>
      </c>
      <c r="FX96" s="240">
        <f t="shared" si="1549"/>
        <v>34</v>
      </c>
      <c r="FY96" s="239" t="str">
        <f t="shared" si="1550"/>
        <v>Ivoorkust</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f t="shared" si="1457"/>
        <v>2</v>
      </c>
      <c r="GI96" s="238">
        <f t="shared" si="1552"/>
        <v>16</v>
      </c>
      <c r="GJ96" s="239" t="str">
        <f t="shared" si="1553"/>
        <v>USA</v>
      </c>
      <c r="GK96" s="240">
        <f t="shared" si="1554"/>
        <v>34</v>
      </c>
      <c r="GL96" s="239" t="str">
        <f t="shared" si="1555"/>
        <v>Ivoorkust</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f t="shared" si="1459"/>
        <v>2</v>
      </c>
      <c r="GV96" s="238">
        <f t="shared" si="1557"/>
        <v>16</v>
      </c>
      <c r="GW96" s="239" t="str">
        <f t="shared" si="1558"/>
        <v>USA</v>
      </c>
      <c r="GX96" s="240">
        <f t="shared" si="1559"/>
        <v>34</v>
      </c>
      <c r="GY96" s="239" t="str">
        <f t="shared" si="1560"/>
        <v>Ivoorkust</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f t="shared" si="1461"/>
        <v>2</v>
      </c>
      <c r="HI96" s="238">
        <f t="shared" si="1562"/>
        <v>16</v>
      </c>
      <c r="HJ96" s="239" t="str">
        <f t="shared" si="1563"/>
        <v>USA</v>
      </c>
      <c r="HK96" s="240">
        <f t="shared" si="1564"/>
        <v>34</v>
      </c>
      <c r="HL96" s="239" t="str">
        <f t="shared" si="1565"/>
        <v>Ivoorkust</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f t="shared" si="1463"/>
        <v>2</v>
      </c>
      <c r="HV96" s="238">
        <f t="shared" si="1567"/>
        <v>16</v>
      </c>
      <c r="HW96" s="239" t="str">
        <f t="shared" si="1568"/>
        <v>USA</v>
      </c>
      <c r="HX96" s="240">
        <f t="shared" si="1569"/>
        <v>34</v>
      </c>
      <c r="HY96" s="239" t="str">
        <f t="shared" si="1570"/>
        <v>Ivoorkust</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f t="shared" si="1465"/>
        <v>2</v>
      </c>
      <c r="II96" s="238">
        <f t="shared" si="1572"/>
        <v>16</v>
      </c>
      <c r="IJ96" s="239" t="str">
        <f t="shared" si="1573"/>
        <v>USA</v>
      </c>
      <c r="IK96" s="240">
        <f t="shared" si="1574"/>
        <v>34</v>
      </c>
      <c r="IL96" s="239" t="str">
        <f t="shared" si="1575"/>
        <v>Ivoorkust</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f t="shared" si="1467"/>
        <v>2</v>
      </c>
      <c r="IV96" s="238">
        <f t="shared" si="1577"/>
        <v>16</v>
      </c>
      <c r="IW96" s="239" t="str">
        <f t="shared" si="1578"/>
        <v>USA</v>
      </c>
      <c r="IX96" s="240">
        <f t="shared" si="1579"/>
        <v>34</v>
      </c>
      <c r="IY96" s="239" t="str">
        <f t="shared" si="1580"/>
        <v>Ivoorkust</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f t="shared" si="1469"/>
        <v>2</v>
      </c>
      <c r="JI96" s="238">
        <f t="shared" si="1582"/>
        <v>16</v>
      </c>
      <c r="JJ96" s="239" t="str">
        <f t="shared" si="1583"/>
        <v>USA</v>
      </c>
      <c r="JK96" s="240">
        <f t="shared" si="1584"/>
        <v>34</v>
      </c>
      <c r="JL96" s="239" t="str">
        <f t="shared" si="1585"/>
        <v>Ivoorkust</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f t="shared" si="1471"/>
        <v>2</v>
      </c>
      <c r="JV96" s="238">
        <f t="shared" si="1587"/>
        <v>16</v>
      </c>
      <c r="JW96" s="239" t="str">
        <f t="shared" si="1588"/>
        <v>USA</v>
      </c>
      <c r="JX96" s="240">
        <f t="shared" si="1589"/>
        <v>34</v>
      </c>
      <c r="JY96" s="239" t="str">
        <f t="shared" si="1590"/>
        <v>Ivoorkust</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f t="shared" si="1473"/>
        <v>2</v>
      </c>
      <c r="KI96" s="238">
        <f t="shared" si="1592"/>
        <v>16</v>
      </c>
      <c r="KJ96" s="239" t="str">
        <f t="shared" si="1593"/>
        <v>USA</v>
      </c>
      <c r="KK96" s="240">
        <f t="shared" si="1594"/>
        <v>34</v>
      </c>
      <c r="KL96" s="239" t="str">
        <f t="shared" si="1595"/>
        <v>Ivoorkust</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f t="shared" si="1475"/>
        <v>2</v>
      </c>
      <c r="KV96" s="238">
        <f t="shared" si="1597"/>
        <v>16</v>
      </c>
      <c r="KW96" s="239" t="str">
        <f t="shared" si="1598"/>
        <v>USA</v>
      </c>
      <c r="KX96" s="240">
        <f t="shared" si="1599"/>
        <v>34</v>
      </c>
      <c r="KY96" s="239" t="str">
        <f t="shared" si="1600"/>
        <v>Ivoorkust</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f t="shared" si="1477"/>
        <v>2</v>
      </c>
      <c r="LI96" s="238">
        <f t="shared" si="1602"/>
        <v>16</v>
      </c>
      <c r="LJ96" s="239" t="str">
        <f t="shared" si="1603"/>
        <v>USA</v>
      </c>
      <c r="LK96" s="240">
        <f t="shared" si="1604"/>
        <v>34</v>
      </c>
      <c r="LL96" s="239" t="str">
        <f t="shared" si="1605"/>
        <v>Ivoorkust</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f t="shared" si="1479"/>
        <v>2</v>
      </c>
      <c r="LV96" s="238">
        <f t="shared" si="1607"/>
        <v>16</v>
      </c>
      <c r="LW96" s="239" t="str">
        <f t="shared" si="1608"/>
        <v>USA</v>
      </c>
      <c r="LX96" s="240">
        <f t="shared" si="1609"/>
        <v>34</v>
      </c>
      <c r="LY96" s="239" t="str">
        <f t="shared" si="1610"/>
        <v>Ivoorkust</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f t="shared" si="1481"/>
        <v>2</v>
      </c>
    </row>
    <row r="97" spans="1:345">
      <c r="B97" s="238">
        <f>IF(C97="","",INDEX(Groups!$C$7:$C$65,MATCH(C97,Groups!$D$7:$D$65,0)))</f>
        <v>9</v>
      </c>
      <c r="C97" s="239" t="str">
        <f>'World Cup'!$W$50</f>
        <v>België</v>
      </c>
      <c r="D97" s="240">
        <f>IF(E97="","",INDEX(Groups!$C$7:$C$65,MATCH(E97,Groups!$D$7:$D$65,0)))</f>
        <v>41</v>
      </c>
      <c r="E97" s="239" t="str">
        <f>'World Cup'!$X$50</f>
        <v>Tsjechië</v>
      </c>
      <c r="F97" s="241">
        <f>IF(AND('World Cup'!$W$51&lt;&gt;"",'World Cup'!$X$51&lt;&gt;""),'World Cup'!$W$51,"")</f>
        <v>0</v>
      </c>
      <c r="G97" s="242">
        <f>IF(AND('World Cup'!$W$51&lt;&gt;"",'World Cup'!$X$51&lt;&gt;""),'World Cup'!$X$51,"")</f>
        <v>0</v>
      </c>
      <c r="I97" s="238">
        <f t="shared" si="1482"/>
        <v>9</v>
      </c>
      <c r="J97" s="239" t="str">
        <f t="shared" si="1483"/>
        <v>België</v>
      </c>
      <c r="K97" s="240">
        <f t="shared" si="1484"/>
        <v>41</v>
      </c>
      <c r="L97" s="239" t="str">
        <f t="shared" si="1485"/>
        <v>Tsjechië</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f t="shared" si="1431"/>
        <v>2</v>
      </c>
      <c r="V97" s="238">
        <f t="shared" si="1487"/>
        <v>9</v>
      </c>
      <c r="W97" s="239" t="str">
        <f t="shared" si="1488"/>
        <v>België</v>
      </c>
      <c r="X97" s="240">
        <f t="shared" si="1489"/>
        <v>41</v>
      </c>
      <c r="Y97" s="239" t="str">
        <f t="shared" si="1490"/>
        <v>Tsjechië</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f t="shared" si="1433"/>
        <v>2</v>
      </c>
      <c r="AI97" s="238">
        <f t="shared" si="1492"/>
        <v>9</v>
      </c>
      <c r="AJ97" s="239" t="str">
        <f t="shared" si="1493"/>
        <v>België</v>
      </c>
      <c r="AK97" s="240">
        <f t="shared" si="1494"/>
        <v>41</v>
      </c>
      <c r="AL97" s="239" t="str">
        <f t="shared" si="1495"/>
        <v>Tsjechië</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f t="shared" si="1435"/>
        <v>2</v>
      </c>
      <c r="AV97" s="238">
        <f t="shared" si="1497"/>
        <v>9</v>
      </c>
      <c r="AW97" s="239" t="str">
        <f t="shared" si="1498"/>
        <v>België</v>
      </c>
      <c r="AX97" s="240">
        <f t="shared" si="1499"/>
        <v>41</v>
      </c>
      <c r="AY97" s="239" t="str">
        <f t="shared" si="1500"/>
        <v>Tsjechië</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f t="shared" si="1437"/>
        <v>2</v>
      </c>
      <c r="BI97" s="238">
        <f t="shared" si="1502"/>
        <v>9</v>
      </c>
      <c r="BJ97" s="239" t="str">
        <f t="shared" si="1503"/>
        <v>België</v>
      </c>
      <c r="BK97" s="240">
        <f t="shared" si="1504"/>
        <v>41</v>
      </c>
      <c r="BL97" s="239" t="str">
        <f t="shared" si="1505"/>
        <v>Tsjechië</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f t="shared" si="1439"/>
        <v>2</v>
      </c>
      <c r="BV97" s="238">
        <f t="shared" si="1507"/>
        <v>9</v>
      </c>
      <c r="BW97" s="239" t="str">
        <f t="shared" si="1508"/>
        <v>België</v>
      </c>
      <c r="BX97" s="240">
        <f t="shared" si="1509"/>
        <v>41</v>
      </c>
      <c r="BY97" s="239" t="str">
        <f t="shared" si="1510"/>
        <v>Tsjechië</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f t="shared" si="1441"/>
        <v>2</v>
      </c>
      <c r="CI97" s="238">
        <f t="shared" si="1512"/>
        <v>9</v>
      </c>
      <c r="CJ97" s="239" t="str">
        <f t="shared" si="1513"/>
        <v>België</v>
      </c>
      <c r="CK97" s="240">
        <f t="shared" si="1514"/>
        <v>41</v>
      </c>
      <c r="CL97" s="239" t="str">
        <f t="shared" si="1515"/>
        <v>Tsjechië</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f t="shared" si="1443"/>
        <v>2</v>
      </c>
      <c r="CV97" s="238">
        <f t="shared" si="1517"/>
        <v>9</v>
      </c>
      <c r="CW97" s="239" t="str">
        <f t="shared" si="1518"/>
        <v>België</v>
      </c>
      <c r="CX97" s="240">
        <f t="shared" si="1519"/>
        <v>41</v>
      </c>
      <c r="CY97" s="239" t="str">
        <f t="shared" si="1520"/>
        <v>Tsjechië</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f t="shared" si="1445"/>
        <v>2</v>
      </c>
      <c r="DI97" s="238">
        <f t="shared" si="1522"/>
        <v>9</v>
      </c>
      <c r="DJ97" s="239" t="str">
        <f t="shared" si="1523"/>
        <v>België</v>
      </c>
      <c r="DK97" s="240">
        <f t="shared" si="1524"/>
        <v>41</v>
      </c>
      <c r="DL97" s="239" t="str">
        <f t="shared" si="1525"/>
        <v>Tsjechië</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f t="shared" si="1447"/>
        <v>2</v>
      </c>
      <c r="DV97" s="238">
        <f t="shared" si="1527"/>
        <v>9</v>
      </c>
      <c r="DW97" s="239" t="str">
        <f t="shared" si="1528"/>
        <v>België</v>
      </c>
      <c r="DX97" s="240">
        <f t="shared" si="1529"/>
        <v>41</v>
      </c>
      <c r="DY97" s="239" t="str">
        <f t="shared" si="1530"/>
        <v>Tsjechië</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f t="shared" si="1449"/>
        <v>2</v>
      </c>
      <c r="EI97" s="238">
        <f t="shared" si="1532"/>
        <v>9</v>
      </c>
      <c r="EJ97" s="239" t="str">
        <f t="shared" si="1533"/>
        <v>België</v>
      </c>
      <c r="EK97" s="240">
        <f t="shared" si="1534"/>
        <v>41</v>
      </c>
      <c r="EL97" s="239" t="str">
        <f t="shared" si="1535"/>
        <v>Tsjechië</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f t="shared" si="1451"/>
        <v>2</v>
      </c>
      <c r="EV97" s="238">
        <f t="shared" si="1537"/>
        <v>9</v>
      </c>
      <c r="EW97" s="239" t="str">
        <f t="shared" si="1538"/>
        <v>België</v>
      </c>
      <c r="EX97" s="240">
        <f t="shared" si="1539"/>
        <v>41</v>
      </c>
      <c r="EY97" s="239" t="str">
        <f t="shared" si="1540"/>
        <v>Tsjechië</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f t="shared" si="1453"/>
        <v>2</v>
      </c>
      <c r="FI97" s="238">
        <f t="shared" si="1542"/>
        <v>9</v>
      </c>
      <c r="FJ97" s="239" t="str">
        <f t="shared" si="1543"/>
        <v>België</v>
      </c>
      <c r="FK97" s="240">
        <f t="shared" si="1544"/>
        <v>41</v>
      </c>
      <c r="FL97" s="239" t="str">
        <f t="shared" si="1545"/>
        <v>Tsjechië</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f t="shared" si="1455"/>
        <v>2</v>
      </c>
      <c r="FV97" s="238">
        <f t="shared" si="1547"/>
        <v>9</v>
      </c>
      <c r="FW97" s="239" t="str">
        <f t="shared" si="1548"/>
        <v>België</v>
      </c>
      <c r="FX97" s="240">
        <f t="shared" si="1549"/>
        <v>41</v>
      </c>
      <c r="FY97" s="239" t="str">
        <f t="shared" si="1550"/>
        <v>Tsjechië</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f t="shared" si="1457"/>
        <v>2</v>
      </c>
      <c r="GI97" s="238">
        <f t="shared" si="1552"/>
        <v>9</v>
      </c>
      <c r="GJ97" s="239" t="str">
        <f t="shared" si="1553"/>
        <v>België</v>
      </c>
      <c r="GK97" s="240">
        <f t="shared" si="1554"/>
        <v>41</v>
      </c>
      <c r="GL97" s="239" t="str">
        <f t="shared" si="1555"/>
        <v>Tsjechië</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f t="shared" si="1459"/>
        <v>2</v>
      </c>
      <c r="GV97" s="238">
        <f t="shared" si="1557"/>
        <v>9</v>
      </c>
      <c r="GW97" s="239" t="str">
        <f t="shared" si="1558"/>
        <v>België</v>
      </c>
      <c r="GX97" s="240">
        <f t="shared" si="1559"/>
        <v>41</v>
      </c>
      <c r="GY97" s="239" t="str">
        <f t="shared" si="1560"/>
        <v>Tsjechië</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f t="shared" si="1461"/>
        <v>2</v>
      </c>
      <c r="HI97" s="238">
        <f t="shared" si="1562"/>
        <v>9</v>
      </c>
      <c r="HJ97" s="239" t="str">
        <f t="shared" si="1563"/>
        <v>België</v>
      </c>
      <c r="HK97" s="240">
        <f t="shared" si="1564"/>
        <v>41</v>
      </c>
      <c r="HL97" s="239" t="str">
        <f t="shared" si="1565"/>
        <v>Tsjechië</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f t="shared" si="1463"/>
        <v>2</v>
      </c>
      <c r="HV97" s="238">
        <f t="shared" si="1567"/>
        <v>9</v>
      </c>
      <c r="HW97" s="239" t="str">
        <f t="shared" si="1568"/>
        <v>België</v>
      </c>
      <c r="HX97" s="240">
        <f t="shared" si="1569"/>
        <v>41</v>
      </c>
      <c r="HY97" s="239" t="str">
        <f t="shared" si="1570"/>
        <v>Tsjechië</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f t="shared" si="1465"/>
        <v>2</v>
      </c>
      <c r="II97" s="238">
        <f t="shared" si="1572"/>
        <v>9</v>
      </c>
      <c r="IJ97" s="239" t="str">
        <f t="shared" si="1573"/>
        <v>België</v>
      </c>
      <c r="IK97" s="240">
        <f t="shared" si="1574"/>
        <v>41</v>
      </c>
      <c r="IL97" s="239" t="str">
        <f t="shared" si="1575"/>
        <v>Tsjechië</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f t="shared" si="1467"/>
        <v>2</v>
      </c>
      <c r="IV97" s="238">
        <f t="shared" si="1577"/>
        <v>9</v>
      </c>
      <c r="IW97" s="239" t="str">
        <f t="shared" si="1578"/>
        <v>België</v>
      </c>
      <c r="IX97" s="240">
        <f t="shared" si="1579"/>
        <v>41</v>
      </c>
      <c r="IY97" s="239" t="str">
        <f t="shared" si="1580"/>
        <v>Tsjechië</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f t="shared" si="1469"/>
        <v>2</v>
      </c>
      <c r="JI97" s="238">
        <f t="shared" si="1582"/>
        <v>9</v>
      </c>
      <c r="JJ97" s="239" t="str">
        <f t="shared" si="1583"/>
        <v>België</v>
      </c>
      <c r="JK97" s="240">
        <f t="shared" si="1584"/>
        <v>41</v>
      </c>
      <c r="JL97" s="239" t="str">
        <f t="shared" si="1585"/>
        <v>Tsjechië</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f t="shared" si="1471"/>
        <v>2</v>
      </c>
      <c r="JV97" s="238">
        <f t="shared" si="1587"/>
        <v>9</v>
      </c>
      <c r="JW97" s="239" t="str">
        <f t="shared" si="1588"/>
        <v>België</v>
      </c>
      <c r="JX97" s="240">
        <f t="shared" si="1589"/>
        <v>41</v>
      </c>
      <c r="JY97" s="239" t="str">
        <f t="shared" si="1590"/>
        <v>Tsjechië</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f t="shared" si="1473"/>
        <v>2</v>
      </c>
      <c r="KI97" s="238">
        <f t="shared" si="1592"/>
        <v>9</v>
      </c>
      <c r="KJ97" s="239" t="str">
        <f t="shared" si="1593"/>
        <v>België</v>
      </c>
      <c r="KK97" s="240">
        <f t="shared" si="1594"/>
        <v>41</v>
      </c>
      <c r="KL97" s="239" t="str">
        <f t="shared" si="1595"/>
        <v>Tsjechië</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f t="shared" si="1475"/>
        <v>2</v>
      </c>
      <c r="KV97" s="238">
        <f t="shared" si="1597"/>
        <v>9</v>
      </c>
      <c r="KW97" s="239" t="str">
        <f t="shared" si="1598"/>
        <v>België</v>
      </c>
      <c r="KX97" s="240">
        <f t="shared" si="1599"/>
        <v>41</v>
      </c>
      <c r="KY97" s="239" t="str">
        <f t="shared" si="1600"/>
        <v>Tsjechië</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f t="shared" si="1477"/>
        <v>2</v>
      </c>
      <c r="LI97" s="238">
        <f t="shared" si="1602"/>
        <v>9</v>
      </c>
      <c r="LJ97" s="239" t="str">
        <f t="shared" si="1603"/>
        <v>België</v>
      </c>
      <c r="LK97" s="240">
        <f t="shared" si="1604"/>
        <v>41</v>
      </c>
      <c r="LL97" s="239" t="str">
        <f t="shared" si="1605"/>
        <v>Tsjechië</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f t="shared" si="1479"/>
        <v>2</v>
      </c>
      <c r="LV97" s="238">
        <f t="shared" si="1607"/>
        <v>9</v>
      </c>
      <c r="LW97" s="239" t="str">
        <f t="shared" si="1608"/>
        <v>België</v>
      </c>
      <c r="LX97" s="240">
        <f t="shared" si="1609"/>
        <v>41</v>
      </c>
      <c r="LY97" s="239" t="str">
        <f t="shared" si="1610"/>
        <v>Tsjechië</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f t="shared" si="1481"/>
        <v>2</v>
      </c>
    </row>
    <row r="98" spans="1:345">
      <c r="B98" s="238">
        <f>IF(C98="","",INDEX(Groups!$C$7:$C$65,MATCH(C98,Groups!$D$7:$D$65,0)))</f>
        <v>6</v>
      </c>
      <c r="C98" s="239" t="str">
        <f>'World Cup'!$Z$50</f>
        <v>Brazilië</v>
      </c>
      <c r="D98" s="240">
        <f>IF(E98="","",INDEX(Groups!$C$7:$C$65,MATCH(E98,Groups!$D$7:$D$65,0)))</f>
        <v>18</v>
      </c>
      <c r="E98" s="239" t="str">
        <f>'World Cup'!$AA$50</f>
        <v>Japan</v>
      </c>
      <c r="F98" s="241">
        <f>IF(AND('World Cup'!$Z$51&lt;&gt;"",'World Cup'!$AA$51&lt;&gt;""),'World Cup'!$Z$51,"")</f>
        <v>0</v>
      </c>
      <c r="G98" s="242">
        <f>IF(AND('World Cup'!$Z$51&lt;&gt;"",'World Cup'!$AA$51&lt;&gt;""),'World Cup'!$AA$51,"")</f>
        <v>0</v>
      </c>
      <c r="I98" s="238">
        <f t="shared" si="1482"/>
        <v>6</v>
      </c>
      <c r="J98" s="239" t="str">
        <f t="shared" si="1483"/>
        <v>Brazilië</v>
      </c>
      <c r="K98" s="240">
        <f t="shared" si="1484"/>
        <v>18</v>
      </c>
      <c r="L98" s="239" t="str">
        <f t="shared" si="1485"/>
        <v>Japan</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f t="shared" si="1431"/>
        <v>2</v>
      </c>
      <c r="V98" s="238">
        <f t="shared" si="1487"/>
        <v>6</v>
      </c>
      <c r="W98" s="239" t="str">
        <f t="shared" si="1488"/>
        <v>Brazilië</v>
      </c>
      <c r="X98" s="240">
        <f t="shared" si="1489"/>
        <v>18</v>
      </c>
      <c r="Y98" s="239" t="str">
        <f t="shared" si="1490"/>
        <v>Japan</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f t="shared" si="1433"/>
        <v>2</v>
      </c>
      <c r="AI98" s="238">
        <f t="shared" si="1492"/>
        <v>6</v>
      </c>
      <c r="AJ98" s="239" t="str">
        <f t="shared" si="1493"/>
        <v>Brazilië</v>
      </c>
      <c r="AK98" s="240">
        <f t="shared" si="1494"/>
        <v>18</v>
      </c>
      <c r="AL98" s="239" t="str">
        <f t="shared" si="1495"/>
        <v>Japan</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f t="shared" si="1435"/>
        <v>2</v>
      </c>
      <c r="AV98" s="238">
        <f t="shared" si="1497"/>
        <v>6</v>
      </c>
      <c r="AW98" s="239" t="str">
        <f t="shared" si="1498"/>
        <v>Brazilië</v>
      </c>
      <c r="AX98" s="240">
        <f t="shared" si="1499"/>
        <v>18</v>
      </c>
      <c r="AY98" s="239" t="str">
        <f t="shared" si="1500"/>
        <v>Japan</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f t="shared" si="1437"/>
        <v>2</v>
      </c>
      <c r="BI98" s="238">
        <f t="shared" si="1502"/>
        <v>6</v>
      </c>
      <c r="BJ98" s="239" t="str">
        <f t="shared" si="1503"/>
        <v>Brazilië</v>
      </c>
      <c r="BK98" s="240">
        <f t="shared" si="1504"/>
        <v>18</v>
      </c>
      <c r="BL98" s="239" t="str">
        <f t="shared" si="1505"/>
        <v>Japan</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f t="shared" si="1439"/>
        <v>2</v>
      </c>
      <c r="BV98" s="238">
        <f t="shared" si="1507"/>
        <v>6</v>
      </c>
      <c r="BW98" s="239" t="str">
        <f t="shared" si="1508"/>
        <v>Brazilië</v>
      </c>
      <c r="BX98" s="240">
        <f t="shared" si="1509"/>
        <v>18</v>
      </c>
      <c r="BY98" s="239" t="str">
        <f t="shared" si="1510"/>
        <v>Japan</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f t="shared" si="1441"/>
        <v>2</v>
      </c>
      <c r="CI98" s="238">
        <f t="shared" si="1512"/>
        <v>6</v>
      </c>
      <c r="CJ98" s="239" t="str">
        <f t="shared" si="1513"/>
        <v>Brazilië</v>
      </c>
      <c r="CK98" s="240">
        <f t="shared" si="1514"/>
        <v>18</v>
      </c>
      <c r="CL98" s="239" t="str">
        <f t="shared" si="1515"/>
        <v>Japan</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f t="shared" si="1443"/>
        <v>2</v>
      </c>
      <c r="CV98" s="238">
        <f t="shared" si="1517"/>
        <v>6</v>
      </c>
      <c r="CW98" s="239" t="str">
        <f t="shared" si="1518"/>
        <v>Brazilië</v>
      </c>
      <c r="CX98" s="240">
        <f t="shared" si="1519"/>
        <v>18</v>
      </c>
      <c r="CY98" s="239" t="str">
        <f t="shared" si="1520"/>
        <v>Japan</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f t="shared" si="1445"/>
        <v>2</v>
      </c>
      <c r="DI98" s="238">
        <f t="shared" si="1522"/>
        <v>6</v>
      </c>
      <c r="DJ98" s="239" t="str">
        <f t="shared" si="1523"/>
        <v>Brazilië</v>
      </c>
      <c r="DK98" s="240">
        <f t="shared" si="1524"/>
        <v>18</v>
      </c>
      <c r="DL98" s="239" t="str">
        <f t="shared" si="1525"/>
        <v>Japan</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f t="shared" si="1447"/>
        <v>2</v>
      </c>
      <c r="DV98" s="238">
        <f t="shared" si="1527"/>
        <v>6</v>
      </c>
      <c r="DW98" s="239" t="str">
        <f t="shared" si="1528"/>
        <v>Brazilië</v>
      </c>
      <c r="DX98" s="240">
        <f t="shared" si="1529"/>
        <v>18</v>
      </c>
      <c r="DY98" s="239" t="str">
        <f t="shared" si="1530"/>
        <v>Japan</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f t="shared" si="1449"/>
        <v>2</v>
      </c>
      <c r="EI98" s="238">
        <f t="shared" si="1532"/>
        <v>6</v>
      </c>
      <c r="EJ98" s="239" t="str">
        <f t="shared" si="1533"/>
        <v>Brazilië</v>
      </c>
      <c r="EK98" s="240">
        <f t="shared" si="1534"/>
        <v>18</v>
      </c>
      <c r="EL98" s="239" t="str">
        <f t="shared" si="1535"/>
        <v>Japan</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f t="shared" si="1451"/>
        <v>2</v>
      </c>
      <c r="EV98" s="238">
        <f t="shared" si="1537"/>
        <v>6</v>
      </c>
      <c r="EW98" s="239" t="str">
        <f t="shared" si="1538"/>
        <v>Brazilië</v>
      </c>
      <c r="EX98" s="240">
        <f t="shared" si="1539"/>
        <v>18</v>
      </c>
      <c r="EY98" s="239" t="str">
        <f t="shared" si="1540"/>
        <v>Japan</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f t="shared" si="1453"/>
        <v>2</v>
      </c>
      <c r="FI98" s="238">
        <f t="shared" si="1542"/>
        <v>6</v>
      </c>
      <c r="FJ98" s="239" t="str">
        <f t="shared" si="1543"/>
        <v>Brazilië</v>
      </c>
      <c r="FK98" s="240">
        <f t="shared" si="1544"/>
        <v>18</v>
      </c>
      <c r="FL98" s="239" t="str">
        <f t="shared" si="1545"/>
        <v>Japan</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f t="shared" si="1455"/>
        <v>2</v>
      </c>
      <c r="FV98" s="238">
        <f t="shared" si="1547"/>
        <v>6</v>
      </c>
      <c r="FW98" s="239" t="str">
        <f t="shared" si="1548"/>
        <v>Brazilië</v>
      </c>
      <c r="FX98" s="240">
        <f t="shared" si="1549"/>
        <v>18</v>
      </c>
      <c r="FY98" s="239" t="str">
        <f t="shared" si="1550"/>
        <v>Japan</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f t="shared" si="1457"/>
        <v>2</v>
      </c>
      <c r="GI98" s="238">
        <f t="shared" si="1552"/>
        <v>6</v>
      </c>
      <c r="GJ98" s="239" t="str">
        <f t="shared" si="1553"/>
        <v>Brazilië</v>
      </c>
      <c r="GK98" s="240">
        <f t="shared" si="1554"/>
        <v>18</v>
      </c>
      <c r="GL98" s="239" t="str">
        <f t="shared" si="1555"/>
        <v>Japan</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f t="shared" si="1459"/>
        <v>2</v>
      </c>
      <c r="GV98" s="238">
        <f t="shared" si="1557"/>
        <v>6</v>
      </c>
      <c r="GW98" s="239" t="str">
        <f t="shared" si="1558"/>
        <v>Brazilië</v>
      </c>
      <c r="GX98" s="240">
        <f t="shared" si="1559"/>
        <v>18</v>
      </c>
      <c r="GY98" s="239" t="str">
        <f t="shared" si="1560"/>
        <v>Japan</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f t="shared" si="1461"/>
        <v>2</v>
      </c>
      <c r="HI98" s="238">
        <f t="shared" si="1562"/>
        <v>6</v>
      </c>
      <c r="HJ98" s="239" t="str">
        <f t="shared" si="1563"/>
        <v>Brazilië</v>
      </c>
      <c r="HK98" s="240">
        <f t="shared" si="1564"/>
        <v>18</v>
      </c>
      <c r="HL98" s="239" t="str">
        <f t="shared" si="1565"/>
        <v>Japan</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f t="shared" si="1463"/>
        <v>2</v>
      </c>
      <c r="HV98" s="238">
        <f t="shared" si="1567"/>
        <v>6</v>
      </c>
      <c r="HW98" s="239" t="str">
        <f t="shared" si="1568"/>
        <v>Brazilië</v>
      </c>
      <c r="HX98" s="240">
        <f t="shared" si="1569"/>
        <v>18</v>
      </c>
      <c r="HY98" s="239" t="str">
        <f t="shared" si="1570"/>
        <v>Japan</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f t="shared" si="1465"/>
        <v>2</v>
      </c>
      <c r="II98" s="238">
        <f t="shared" si="1572"/>
        <v>6</v>
      </c>
      <c r="IJ98" s="239" t="str">
        <f t="shared" si="1573"/>
        <v>Brazilië</v>
      </c>
      <c r="IK98" s="240">
        <f t="shared" si="1574"/>
        <v>18</v>
      </c>
      <c r="IL98" s="239" t="str">
        <f t="shared" si="1575"/>
        <v>Japan</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f t="shared" si="1467"/>
        <v>2</v>
      </c>
      <c r="IV98" s="238">
        <f t="shared" si="1577"/>
        <v>6</v>
      </c>
      <c r="IW98" s="239" t="str">
        <f t="shared" si="1578"/>
        <v>Brazilië</v>
      </c>
      <c r="IX98" s="240">
        <f t="shared" si="1579"/>
        <v>18</v>
      </c>
      <c r="IY98" s="239" t="str">
        <f t="shared" si="1580"/>
        <v>Japan</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f t="shared" si="1469"/>
        <v>2</v>
      </c>
      <c r="JI98" s="238">
        <f t="shared" si="1582"/>
        <v>6</v>
      </c>
      <c r="JJ98" s="239" t="str">
        <f t="shared" si="1583"/>
        <v>Brazilië</v>
      </c>
      <c r="JK98" s="240">
        <f t="shared" si="1584"/>
        <v>18</v>
      </c>
      <c r="JL98" s="239" t="str">
        <f t="shared" si="1585"/>
        <v>Japan</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f t="shared" si="1471"/>
        <v>2</v>
      </c>
      <c r="JV98" s="238">
        <f t="shared" si="1587"/>
        <v>6</v>
      </c>
      <c r="JW98" s="239" t="str">
        <f t="shared" si="1588"/>
        <v>Brazilië</v>
      </c>
      <c r="JX98" s="240">
        <f t="shared" si="1589"/>
        <v>18</v>
      </c>
      <c r="JY98" s="239" t="str">
        <f t="shared" si="1590"/>
        <v>Japan</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f t="shared" si="1473"/>
        <v>2</v>
      </c>
      <c r="KI98" s="238">
        <f t="shared" si="1592"/>
        <v>6</v>
      </c>
      <c r="KJ98" s="239" t="str">
        <f t="shared" si="1593"/>
        <v>Brazilië</v>
      </c>
      <c r="KK98" s="240">
        <f t="shared" si="1594"/>
        <v>18</v>
      </c>
      <c r="KL98" s="239" t="str">
        <f t="shared" si="1595"/>
        <v>Japan</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f t="shared" si="1475"/>
        <v>2</v>
      </c>
      <c r="KV98" s="238">
        <f t="shared" si="1597"/>
        <v>6</v>
      </c>
      <c r="KW98" s="239" t="str">
        <f t="shared" si="1598"/>
        <v>Brazilië</v>
      </c>
      <c r="KX98" s="240">
        <f t="shared" si="1599"/>
        <v>18</v>
      </c>
      <c r="KY98" s="239" t="str">
        <f t="shared" si="1600"/>
        <v>Japan</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f t="shared" si="1477"/>
        <v>2</v>
      </c>
      <c r="LI98" s="238">
        <f t="shared" si="1602"/>
        <v>6</v>
      </c>
      <c r="LJ98" s="239" t="str">
        <f t="shared" si="1603"/>
        <v>Brazilië</v>
      </c>
      <c r="LK98" s="240">
        <f t="shared" si="1604"/>
        <v>18</v>
      </c>
      <c r="LL98" s="239" t="str">
        <f t="shared" si="1605"/>
        <v>Japan</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f t="shared" si="1479"/>
        <v>2</v>
      </c>
      <c r="LV98" s="238">
        <f t="shared" si="1607"/>
        <v>6</v>
      </c>
      <c r="LW98" s="239" t="str">
        <f t="shared" si="1608"/>
        <v>Brazilië</v>
      </c>
      <c r="LX98" s="240">
        <f t="shared" si="1609"/>
        <v>18</v>
      </c>
      <c r="LY98" s="239" t="str">
        <f t="shared" si="1610"/>
        <v>Japan</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f t="shared" si="1481"/>
        <v>2</v>
      </c>
    </row>
    <row r="99" spans="1:34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f>
        <v>0</v>
      </c>
      <c r="G99" s="242">
        <f>IF(AND('World Cup'!$AC$51&lt;&gt;"",'World Cup'!$AD$51&lt;&gt;""),'World Cup'!$AD$51,"")</f>
        <v>0</v>
      </c>
      <c r="I99" s="238">
        <f t="shared" si="1482"/>
        <v>23</v>
      </c>
      <c r="J99" s="239" t="str">
        <f t="shared" si="1483"/>
        <v>Ecuador</v>
      </c>
      <c r="K99" s="240">
        <f t="shared" si="1484"/>
        <v>14</v>
      </c>
      <c r="L99" s="239" t="str">
        <f t="shared" si="1485"/>
        <v>Senegal</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f t="shared" si="1431"/>
        <v>2</v>
      </c>
      <c r="V99" s="238">
        <f t="shared" si="1487"/>
        <v>23</v>
      </c>
      <c r="W99" s="239" t="str">
        <f t="shared" si="1488"/>
        <v>Ecuador</v>
      </c>
      <c r="X99" s="240">
        <f t="shared" si="1489"/>
        <v>14</v>
      </c>
      <c r="Y99" s="239" t="str">
        <f t="shared" si="1490"/>
        <v>Senegal</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f t="shared" si="1433"/>
        <v>2</v>
      </c>
      <c r="AI99" s="238">
        <f t="shared" si="1492"/>
        <v>23</v>
      </c>
      <c r="AJ99" s="239" t="str">
        <f t="shared" si="1493"/>
        <v>Ecuador</v>
      </c>
      <c r="AK99" s="240">
        <f t="shared" si="1494"/>
        <v>14</v>
      </c>
      <c r="AL99" s="239" t="str">
        <f t="shared" si="1495"/>
        <v>Senegal</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f t="shared" si="1435"/>
        <v>2</v>
      </c>
      <c r="AV99" s="238">
        <f t="shared" si="1497"/>
        <v>23</v>
      </c>
      <c r="AW99" s="239" t="str">
        <f t="shared" si="1498"/>
        <v>Ecuador</v>
      </c>
      <c r="AX99" s="240">
        <f t="shared" si="1499"/>
        <v>14</v>
      </c>
      <c r="AY99" s="239" t="str">
        <f t="shared" si="1500"/>
        <v>Senegal</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f t="shared" si="1437"/>
        <v>2</v>
      </c>
      <c r="BI99" s="238">
        <f t="shared" si="1502"/>
        <v>23</v>
      </c>
      <c r="BJ99" s="239" t="str">
        <f t="shared" si="1503"/>
        <v>Ecuador</v>
      </c>
      <c r="BK99" s="240">
        <f t="shared" si="1504"/>
        <v>14</v>
      </c>
      <c r="BL99" s="239" t="str">
        <f t="shared" si="1505"/>
        <v>Senegal</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f t="shared" si="1439"/>
        <v>2</v>
      </c>
      <c r="BV99" s="238">
        <f t="shared" si="1507"/>
        <v>23</v>
      </c>
      <c r="BW99" s="239" t="str">
        <f t="shared" si="1508"/>
        <v>Ecuador</v>
      </c>
      <c r="BX99" s="240">
        <f t="shared" si="1509"/>
        <v>14</v>
      </c>
      <c r="BY99" s="239" t="str">
        <f t="shared" si="1510"/>
        <v>Senegal</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f t="shared" si="1441"/>
        <v>2</v>
      </c>
      <c r="CI99" s="238">
        <f t="shared" si="1512"/>
        <v>23</v>
      </c>
      <c r="CJ99" s="239" t="str">
        <f t="shared" si="1513"/>
        <v>Ecuador</v>
      </c>
      <c r="CK99" s="240">
        <f t="shared" si="1514"/>
        <v>14</v>
      </c>
      <c r="CL99" s="239" t="str">
        <f t="shared" si="1515"/>
        <v>Senegal</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f t="shared" si="1443"/>
        <v>2</v>
      </c>
      <c r="CV99" s="238">
        <f t="shared" si="1517"/>
        <v>23</v>
      </c>
      <c r="CW99" s="239" t="str">
        <f t="shared" si="1518"/>
        <v>Ecuador</v>
      </c>
      <c r="CX99" s="240">
        <f t="shared" si="1519"/>
        <v>14</v>
      </c>
      <c r="CY99" s="239" t="str">
        <f t="shared" si="1520"/>
        <v>Senegal</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f t="shared" si="1445"/>
        <v>2</v>
      </c>
      <c r="DI99" s="238">
        <f t="shared" si="1522"/>
        <v>23</v>
      </c>
      <c r="DJ99" s="239" t="str">
        <f t="shared" si="1523"/>
        <v>Ecuador</v>
      </c>
      <c r="DK99" s="240">
        <f t="shared" si="1524"/>
        <v>14</v>
      </c>
      <c r="DL99" s="239" t="str">
        <f t="shared" si="1525"/>
        <v>Senegal</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f t="shared" si="1447"/>
        <v>2</v>
      </c>
      <c r="DV99" s="238">
        <f t="shared" si="1527"/>
        <v>23</v>
      </c>
      <c r="DW99" s="239" t="str">
        <f t="shared" si="1528"/>
        <v>Ecuador</v>
      </c>
      <c r="DX99" s="240">
        <f t="shared" si="1529"/>
        <v>14</v>
      </c>
      <c r="DY99" s="239" t="str">
        <f t="shared" si="1530"/>
        <v>Senegal</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f t="shared" si="1449"/>
        <v>2</v>
      </c>
      <c r="EI99" s="238">
        <f t="shared" si="1532"/>
        <v>23</v>
      </c>
      <c r="EJ99" s="239" t="str">
        <f t="shared" si="1533"/>
        <v>Ecuador</v>
      </c>
      <c r="EK99" s="240">
        <f t="shared" si="1534"/>
        <v>14</v>
      </c>
      <c r="EL99" s="239" t="str">
        <f t="shared" si="1535"/>
        <v>Senegal</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f t="shared" si="1451"/>
        <v>2</v>
      </c>
      <c r="EV99" s="238">
        <f t="shared" si="1537"/>
        <v>23</v>
      </c>
      <c r="EW99" s="239" t="str">
        <f t="shared" si="1538"/>
        <v>Ecuador</v>
      </c>
      <c r="EX99" s="240">
        <f t="shared" si="1539"/>
        <v>14</v>
      </c>
      <c r="EY99" s="239" t="str">
        <f t="shared" si="1540"/>
        <v>Senegal</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f t="shared" si="1453"/>
        <v>2</v>
      </c>
      <c r="FI99" s="238">
        <f t="shared" si="1542"/>
        <v>23</v>
      </c>
      <c r="FJ99" s="239" t="str">
        <f t="shared" si="1543"/>
        <v>Ecuador</v>
      </c>
      <c r="FK99" s="240">
        <f t="shared" si="1544"/>
        <v>14</v>
      </c>
      <c r="FL99" s="239" t="str">
        <f t="shared" si="1545"/>
        <v>Senegal</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f t="shared" si="1455"/>
        <v>2</v>
      </c>
      <c r="FV99" s="238">
        <f t="shared" si="1547"/>
        <v>23</v>
      </c>
      <c r="FW99" s="239" t="str">
        <f t="shared" si="1548"/>
        <v>Ecuador</v>
      </c>
      <c r="FX99" s="240">
        <f t="shared" si="1549"/>
        <v>14</v>
      </c>
      <c r="FY99" s="239" t="str">
        <f t="shared" si="1550"/>
        <v>Senegal</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f t="shared" si="1457"/>
        <v>2</v>
      </c>
      <c r="GI99" s="238">
        <f t="shared" si="1552"/>
        <v>23</v>
      </c>
      <c r="GJ99" s="239" t="str">
        <f t="shared" si="1553"/>
        <v>Ecuador</v>
      </c>
      <c r="GK99" s="240">
        <f t="shared" si="1554"/>
        <v>14</v>
      </c>
      <c r="GL99" s="239" t="str">
        <f t="shared" si="1555"/>
        <v>Senegal</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f t="shared" si="1459"/>
        <v>2</v>
      </c>
      <c r="GV99" s="238">
        <f t="shared" si="1557"/>
        <v>23</v>
      </c>
      <c r="GW99" s="239" t="str">
        <f t="shared" si="1558"/>
        <v>Ecuador</v>
      </c>
      <c r="GX99" s="240">
        <f t="shared" si="1559"/>
        <v>14</v>
      </c>
      <c r="GY99" s="239" t="str">
        <f t="shared" si="1560"/>
        <v>Senegal</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f t="shared" si="1461"/>
        <v>2</v>
      </c>
      <c r="HI99" s="238">
        <f t="shared" si="1562"/>
        <v>23</v>
      </c>
      <c r="HJ99" s="239" t="str">
        <f t="shared" si="1563"/>
        <v>Ecuador</v>
      </c>
      <c r="HK99" s="240">
        <f t="shared" si="1564"/>
        <v>14</v>
      </c>
      <c r="HL99" s="239" t="str">
        <f t="shared" si="1565"/>
        <v>Senegal</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f t="shared" si="1463"/>
        <v>2</v>
      </c>
      <c r="HV99" s="238">
        <f t="shared" si="1567"/>
        <v>23</v>
      </c>
      <c r="HW99" s="239" t="str">
        <f t="shared" si="1568"/>
        <v>Ecuador</v>
      </c>
      <c r="HX99" s="240">
        <f t="shared" si="1569"/>
        <v>14</v>
      </c>
      <c r="HY99" s="239" t="str">
        <f t="shared" si="1570"/>
        <v>Senegal</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f t="shared" si="1465"/>
        <v>2</v>
      </c>
      <c r="II99" s="238">
        <f t="shared" si="1572"/>
        <v>23</v>
      </c>
      <c r="IJ99" s="239" t="str">
        <f t="shared" si="1573"/>
        <v>Ecuador</v>
      </c>
      <c r="IK99" s="240">
        <f t="shared" si="1574"/>
        <v>14</v>
      </c>
      <c r="IL99" s="239" t="str">
        <f t="shared" si="1575"/>
        <v>Senegal</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f t="shared" si="1467"/>
        <v>2</v>
      </c>
      <c r="IV99" s="238">
        <f t="shared" si="1577"/>
        <v>23</v>
      </c>
      <c r="IW99" s="239" t="str">
        <f t="shared" si="1578"/>
        <v>Ecuador</v>
      </c>
      <c r="IX99" s="240">
        <f t="shared" si="1579"/>
        <v>14</v>
      </c>
      <c r="IY99" s="239" t="str">
        <f t="shared" si="1580"/>
        <v>Senegal</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f t="shared" si="1469"/>
        <v>2</v>
      </c>
      <c r="JI99" s="238">
        <f t="shared" si="1582"/>
        <v>23</v>
      </c>
      <c r="JJ99" s="239" t="str">
        <f t="shared" si="1583"/>
        <v>Ecuador</v>
      </c>
      <c r="JK99" s="240">
        <f t="shared" si="1584"/>
        <v>14</v>
      </c>
      <c r="JL99" s="239" t="str">
        <f t="shared" si="1585"/>
        <v>Senegal</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f t="shared" si="1471"/>
        <v>2</v>
      </c>
      <c r="JV99" s="238">
        <f t="shared" si="1587"/>
        <v>23</v>
      </c>
      <c r="JW99" s="239" t="str">
        <f t="shared" si="1588"/>
        <v>Ecuador</v>
      </c>
      <c r="JX99" s="240">
        <f t="shared" si="1589"/>
        <v>14</v>
      </c>
      <c r="JY99" s="239" t="str">
        <f t="shared" si="1590"/>
        <v>Senegal</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f t="shared" si="1473"/>
        <v>2</v>
      </c>
      <c r="KI99" s="238">
        <f t="shared" si="1592"/>
        <v>23</v>
      </c>
      <c r="KJ99" s="239" t="str">
        <f t="shared" si="1593"/>
        <v>Ecuador</v>
      </c>
      <c r="KK99" s="240">
        <f t="shared" si="1594"/>
        <v>14</v>
      </c>
      <c r="KL99" s="239" t="str">
        <f t="shared" si="1595"/>
        <v>Senegal</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f t="shared" si="1475"/>
        <v>2</v>
      </c>
      <c r="KV99" s="238">
        <f t="shared" si="1597"/>
        <v>23</v>
      </c>
      <c r="KW99" s="239" t="str">
        <f t="shared" si="1598"/>
        <v>Ecuador</v>
      </c>
      <c r="KX99" s="240">
        <f t="shared" si="1599"/>
        <v>14</v>
      </c>
      <c r="KY99" s="239" t="str">
        <f t="shared" si="1600"/>
        <v>Senegal</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f t="shared" si="1477"/>
        <v>2</v>
      </c>
      <c r="LI99" s="238">
        <f t="shared" si="1602"/>
        <v>23</v>
      </c>
      <c r="LJ99" s="239" t="str">
        <f t="shared" si="1603"/>
        <v>Ecuador</v>
      </c>
      <c r="LK99" s="240">
        <f t="shared" si="1604"/>
        <v>14</v>
      </c>
      <c r="LL99" s="239" t="str">
        <f t="shared" si="1605"/>
        <v>Senegal</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f t="shared" si="1479"/>
        <v>2</v>
      </c>
      <c r="LV99" s="238">
        <f t="shared" si="1607"/>
        <v>23</v>
      </c>
      <c r="LW99" s="239" t="str">
        <f t="shared" si="1608"/>
        <v>Ecuador</v>
      </c>
      <c r="LX99" s="240">
        <f t="shared" si="1609"/>
        <v>14</v>
      </c>
      <c r="LY99" s="239" t="str">
        <f t="shared" si="1610"/>
        <v>Senegal</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f t="shared" si="1481"/>
        <v>2</v>
      </c>
    </row>
    <row r="100" spans="1:345">
      <c r="B100" s="238">
        <f>IF(C100="","",INDEX(Groups!$C$7:$C$65,MATCH(C100,Groups!$D$7:$D$65,0)))</f>
        <v>15</v>
      </c>
      <c r="C100" s="239" t="str">
        <f>'World Cup'!$AF$50</f>
        <v>Mexico</v>
      </c>
      <c r="D100" s="240">
        <f>IF(E100="","",INDEX(Groups!$C$7:$C$65,MATCH(E100,Groups!$D$7:$D$65,0)))</f>
        <v>43</v>
      </c>
      <c r="E100" s="239" t="str">
        <f>'World Cup'!$AG$50</f>
        <v>Schotland</v>
      </c>
      <c r="F100" s="241">
        <f>IF(AND('World Cup'!$AF$51&lt;&gt;"",'World Cup'!$AG$51&lt;&gt;""),'World Cup'!$AF$51,"")</f>
        <v>0</v>
      </c>
      <c r="G100" s="242">
        <f>IF(AND('World Cup'!$AF$51&lt;&gt;"",'World Cup'!$AG$51&lt;&gt;""),'World Cup'!$AG$51,"")</f>
        <v>0</v>
      </c>
      <c r="I100" s="238">
        <f t="shared" si="1482"/>
        <v>15</v>
      </c>
      <c r="J100" s="239" t="str">
        <f t="shared" si="1483"/>
        <v>Mexico</v>
      </c>
      <c r="K100" s="240">
        <f t="shared" si="1484"/>
        <v>43</v>
      </c>
      <c r="L100" s="239" t="str">
        <f t="shared" si="1485"/>
        <v>Schotland</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f t="shared" si="1431"/>
        <v>2</v>
      </c>
      <c r="V100" s="238">
        <f t="shared" si="1487"/>
        <v>15</v>
      </c>
      <c r="W100" s="239" t="str">
        <f t="shared" si="1488"/>
        <v>Mexico</v>
      </c>
      <c r="X100" s="240">
        <f t="shared" si="1489"/>
        <v>43</v>
      </c>
      <c r="Y100" s="239" t="str">
        <f t="shared" si="1490"/>
        <v>Schotland</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f t="shared" si="1433"/>
        <v>2</v>
      </c>
      <c r="AI100" s="238">
        <f t="shared" si="1492"/>
        <v>15</v>
      </c>
      <c r="AJ100" s="239" t="str">
        <f t="shared" si="1493"/>
        <v>Mexico</v>
      </c>
      <c r="AK100" s="240">
        <f t="shared" si="1494"/>
        <v>43</v>
      </c>
      <c r="AL100" s="239" t="str">
        <f t="shared" si="1495"/>
        <v>Schotland</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f t="shared" si="1435"/>
        <v>2</v>
      </c>
      <c r="AV100" s="238">
        <f t="shared" si="1497"/>
        <v>15</v>
      </c>
      <c r="AW100" s="239" t="str">
        <f t="shared" si="1498"/>
        <v>Mexico</v>
      </c>
      <c r="AX100" s="240">
        <f t="shared" si="1499"/>
        <v>43</v>
      </c>
      <c r="AY100" s="239" t="str">
        <f t="shared" si="1500"/>
        <v>Schotland</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f t="shared" si="1437"/>
        <v>2</v>
      </c>
      <c r="BI100" s="238">
        <f t="shared" si="1502"/>
        <v>15</v>
      </c>
      <c r="BJ100" s="239" t="str">
        <f t="shared" si="1503"/>
        <v>Mexico</v>
      </c>
      <c r="BK100" s="240">
        <f t="shared" si="1504"/>
        <v>43</v>
      </c>
      <c r="BL100" s="239" t="str">
        <f t="shared" si="1505"/>
        <v>Schotland</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f t="shared" si="1439"/>
        <v>2</v>
      </c>
      <c r="BV100" s="238">
        <f t="shared" si="1507"/>
        <v>15</v>
      </c>
      <c r="BW100" s="239" t="str">
        <f t="shared" si="1508"/>
        <v>Mexico</v>
      </c>
      <c r="BX100" s="240">
        <f t="shared" si="1509"/>
        <v>43</v>
      </c>
      <c r="BY100" s="239" t="str">
        <f t="shared" si="1510"/>
        <v>Schotland</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f t="shared" si="1441"/>
        <v>2</v>
      </c>
      <c r="CI100" s="238">
        <f t="shared" si="1512"/>
        <v>15</v>
      </c>
      <c r="CJ100" s="239" t="str">
        <f t="shared" si="1513"/>
        <v>Mexico</v>
      </c>
      <c r="CK100" s="240">
        <f t="shared" si="1514"/>
        <v>43</v>
      </c>
      <c r="CL100" s="239" t="str">
        <f t="shared" si="1515"/>
        <v>Schotland</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f t="shared" si="1443"/>
        <v>2</v>
      </c>
      <c r="CV100" s="238">
        <f t="shared" si="1517"/>
        <v>15</v>
      </c>
      <c r="CW100" s="239" t="str">
        <f t="shared" si="1518"/>
        <v>Mexico</v>
      </c>
      <c r="CX100" s="240">
        <f t="shared" si="1519"/>
        <v>43</v>
      </c>
      <c r="CY100" s="239" t="str">
        <f t="shared" si="1520"/>
        <v>Schotland</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f t="shared" si="1445"/>
        <v>2</v>
      </c>
      <c r="DI100" s="238">
        <f t="shared" si="1522"/>
        <v>15</v>
      </c>
      <c r="DJ100" s="239" t="str">
        <f t="shared" si="1523"/>
        <v>Mexico</v>
      </c>
      <c r="DK100" s="240">
        <f t="shared" si="1524"/>
        <v>43</v>
      </c>
      <c r="DL100" s="239" t="str">
        <f t="shared" si="1525"/>
        <v>Schotland</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f t="shared" si="1447"/>
        <v>2</v>
      </c>
      <c r="DV100" s="238">
        <f t="shared" si="1527"/>
        <v>15</v>
      </c>
      <c r="DW100" s="239" t="str">
        <f t="shared" si="1528"/>
        <v>Mexico</v>
      </c>
      <c r="DX100" s="240">
        <f t="shared" si="1529"/>
        <v>43</v>
      </c>
      <c r="DY100" s="239" t="str">
        <f t="shared" si="1530"/>
        <v>Schotland</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f t="shared" si="1449"/>
        <v>2</v>
      </c>
      <c r="EI100" s="238">
        <f t="shared" si="1532"/>
        <v>15</v>
      </c>
      <c r="EJ100" s="239" t="str">
        <f t="shared" si="1533"/>
        <v>Mexico</v>
      </c>
      <c r="EK100" s="240">
        <f t="shared" si="1534"/>
        <v>43</v>
      </c>
      <c r="EL100" s="239" t="str">
        <f t="shared" si="1535"/>
        <v>Schotland</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f t="shared" si="1451"/>
        <v>2</v>
      </c>
      <c r="EV100" s="238">
        <f t="shared" si="1537"/>
        <v>15</v>
      </c>
      <c r="EW100" s="239" t="str">
        <f t="shared" si="1538"/>
        <v>Mexico</v>
      </c>
      <c r="EX100" s="240">
        <f t="shared" si="1539"/>
        <v>43</v>
      </c>
      <c r="EY100" s="239" t="str">
        <f t="shared" si="1540"/>
        <v>Schotland</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f t="shared" si="1453"/>
        <v>2</v>
      </c>
      <c r="FI100" s="238">
        <f t="shared" si="1542"/>
        <v>15</v>
      </c>
      <c r="FJ100" s="239" t="str">
        <f t="shared" si="1543"/>
        <v>Mexico</v>
      </c>
      <c r="FK100" s="240">
        <f t="shared" si="1544"/>
        <v>43</v>
      </c>
      <c r="FL100" s="239" t="str">
        <f t="shared" si="1545"/>
        <v>Schotland</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f t="shared" si="1455"/>
        <v>2</v>
      </c>
      <c r="FV100" s="238">
        <f t="shared" si="1547"/>
        <v>15</v>
      </c>
      <c r="FW100" s="239" t="str">
        <f t="shared" si="1548"/>
        <v>Mexico</v>
      </c>
      <c r="FX100" s="240">
        <f t="shared" si="1549"/>
        <v>43</v>
      </c>
      <c r="FY100" s="239" t="str">
        <f t="shared" si="1550"/>
        <v>Schotland</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f t="shared" si="1457"/>
        <v>2</v>
      </c>
      <c r="GI100" s="238">
        <f t="shared" si="1552"/>
        <v>15</v>
      </c>
      <c r="GJ100" s="239" t="str">
        <f t="shared" si="1553"/>
        <v>Mexico</v>
      </c>
      <c r="GK100" s="240">
        <f t="shared" si="1554"/>
        <v>43</v>
      </c>
      <c r="GL100" s="239" t="str">
        <f t="shared" si="1555"/>
        <v>Schotland</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f t="shared" si="1459"/>
        <v>2</v>
      </c>
      <c r="GV100" s="238">
        <f t="shared" si="1557"/>
        <v>15</v>
      </c>
      <c r="GW100" s="239" t="str">
        <f t="shared" si="1558"/>
        <v>Mexico</v>
      </c>
      <c r="GX100" s="240">
        <f t="shared" si="1559"/>
        <v>43</v>
      </c>
      <c r="GY100" s="239" t="str">
        <f t="shared" si="1560"/>
        <v>Schotland</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f t="shared" si="1461"/>
        <v>2</v>
      </c>
      <c r="HI100" s="238">
        <f t="shared" si="1562"/>
        <v>15</v>
      </c>
      <c r="HJ100" s="239" t="str">
        <f t="shared" si="1563"/>
        <v>Mexico</v>
      </c>
      <c r="HK100" s="240">
        <f t="shared" si="1564"/>
        <v>43</v>
      </c>
      <c r="HL100" s="239" t="str">
        <f t="shared" si="1565"/>
        <v>Schotland</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f t="shared" si="1463"/>
        <v>2</v>
      </c>
      <c r="HV100" s="238">
        <f t="shared" si="1567"/>
        <v>15</v>
      </c>
      <c r="HW100" s="239" t="str">
        <f t="shared" si="1568"/>
        <v>Mexico</v>
      </c>
      <c r="HX100" s="240">
        <f t="shared" si="1569"/>
        <v>43</v>
      </c>
      <c r="HY100" s="239" t="str">
        <f t="shared" si="1570"/>
        <v>Schotland</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f t="shared" si="1465"/>
        <v>2</v>
      </c>
      <c r="II100" s="238">
        <f t="shared" si="1572"/>
        <v>15</v>
      </c>
      <c r="IJ100" s="239" t="str">
        <f t="shared" si="1573"/>
        <v>Mexico</v>
      </c>
      <c r="IK100" s="240">
        <f t="shared" si="1574"/>
        <v>43</v>
      </c>
      <c r="IL100" s="239" t="str">
        <f t="shared" si="1575"/>
        <v>Schotland</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f t="shared" si="1467"/>
        <v>2</v>
      </c>
      <c r="IV100" s="238">
        <f t="shared" si="1577"/>
        <v>15</v>
      </c>
      <c r="IW100" s="239" t="str">
        <f t="shared" si="1578"/>
        <v>Mexico</v>
      </c>
      <c r="IX100" s="240">
        <f t="shared" si="1579"/>
        <v>43</v>
      </c>
      <c r="IY100" s="239" t="str">
        <f t="shared" si="1580"/>
        <v>Schotland</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f t="shared" si="1469"/>
        <v>2</v>
      </c>
      <c r="JI100" s="238">
        <f t="shared" si="1582"/>
        <v>15</v>
      </c>
      <c r="JJ100" s="239" t="str">
        <f t="shared" si="1583"/>
        <v>Mexico</v>
      </c>
      <c r="JK100" s="240">
        <f t="shared" si="1584"/>
        <v>43</v>
      </c>
      <c r="JL100" s="239" t="str">
        <f t="shared" si="1585"/>
        <v>Schotland</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f t="shared" si="1471"/>
        <v>2</v>
      </c>
      <c r="JV100" s="238">
        <f t="shared" si="1587"/>
        <v>15</v>
      </c>
      <c r="JW100" s="239" t="str">
        <f t="shared" si="1588"/>
        <v>Mexico</v>
      </c>
      <c r="JX100" s="240">
        <f t="shared" si="1589"/>
        <v>43</v>
      </c>
      <c r="JY100" s="239" t="str">
        <f t="shared" si="1590"/>
        <v>Schotland</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f t="shared" si="1473"/>
        <v>2</v>
      </c>
      <c r="KI100" s="238">
        <f t="shared" si="1592"/>
        <v>15</v>
      </c>
      <c r="KJ100" s="239" t="str">
        <f t="shared" si="1593"/>
        <v>Mexico</v>
      </c>
      <c r="KK100" s="240">
        <f t="shared" si="1594"/>
        <v>43</v>
      </c>
      <c r="KL100" s="239" t="str">
        <f t="shared" si="1595"/>
        <v>Schotland</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f t="shared" si="1475"/>
        <v>2</v>
      </c>
      <c r="KV100" s="238">
        <f t="shared" si="1597"/>
        <v>15</v>
      </c>
      <c r="KW100" s="239" t="str">
        <f t="shared" si="1598"/>
        <v>Mexico</v>
      </c>
      <c r="KX100" s="240">
        <f t="shared" si="1599"/>
        <v>43</v>
      </c>
      <c r="KY100" s="239" t="str">
        <f t="shared" si="1600"/>
        <v>Schotland</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f t="shared" si="1477"/>
        <v>2</v>
      </c>
      <c r="LI100" s="238">
        <f t="shared" si="1602"/>
        <v>15</v>
      </c>
      <c r="LJ100" s="239" t="str">
        <f t="shared" si="1603"/>
        <v>Mexico</v>
      </c>
      <c r="LK100" s="240">
        <f t="shared" si="1604"/>
        <v>43</v>
      </c>
      <c r="LL100" s="239" t="str">
        <f t="shared" si="1605"/>
        <v>Schotland</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f t="shared" si="1479"/>
        <v>2</v>
      </c>
      <c r="LV100" s="238">
        <f t="shared" si="1607"/>
        <v>15</v>
      </c>
      <c r="LW100" s="239" t="str">
        <f t="shared" si="1608"/>
        <v>Mexico</v>
      </c>
      <c r="LX100" s="240">
        <f t="shared" si="1609"/>
        <v>43</v>
      </c>
      <c r="LY100" s="239" t="str">
        <f t="shared" si="1610"/>
        <v>Schotland</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f t="shared" si="1481"/>
        <v>2</v>
      </c>
    </row>
    <row r="101" spans="1:34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f>
        <v>0</v>
      </c>
      <c r="G101" s="242">
        <f>IF(AND('World Cup'!$AI$51&lt;&gt;"",'World Cup'!$AJ$51&lt;&gt;""),'World Cup'!$AJ$51,"")</f>
        <v>0</v>
      </c>
      <c r="I101" s="238">
        <f t="shared" si="1482"/>
        <v>4</v>
      </c>
      <c r="J101" s="239" t="str">
        <f t="shared" si="1483"/>
        <v>Engeland</v>
      </c>
      <c r="K101" s="240">
        <f t="shared" si="1484"/>
        <v>31</v>
      </c>
      <c r="L101" s="239" t="str">
        <f t="shared" si="1485"/>
        <v>Noorwegen</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f t="shared" si="1431"/>
        <v>2</v>
      </c>
      <c r="V101" s="238">
        <f t="shared" si="1487"/>
        <v>4</v>
      </c>
      <c r="W101" s="239" t="str">
        <f t="shared" si="1488"/>
        <v>Engeland</v>
      </c>
      <c r="X101" s="240">
        <f t="shared" si="1489"/>
        <v>31</v>
      </c>
      <c r="Y101" s="239" t="str">
        <f t="shared" si="1490"/>
        <v>Noorwegen</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f t="shared" si="1433"/>
        <v>2</v>
      </c>
      <c r="AI101" s="238">
        <f t="shared" si="1492"/>
        <v>4</v>
      </c>
      <c r="AJ101" s="239" t="str">
        <f t="shared" si="1493"/>
        <v>Engeland</v>
      </c>
      <c r="AK101" s="240">
        <f t="shared" si="1494"/>
        <v>31</v>
      </c>
      <c r="AL101" s="239" t="str">
        <f t="shared" si="1495"/>
        <v>Noorwegen</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f t="shared" si="1435"/>
        <v>2</v>
      </c>
      <c r="AV101" s="238">
        <f t="shared" si="1497"/>
        <v>4</v>
      </c>
      <c r="AW101" s="239" t="str">
        <f t="shared" si="1498"/>
        <v>Engeland</v>
      </c>
      <c r="AX101" s="240">
        <f t="shared" si="1499"/>
        <v>31</v>
      </c>
      <c r="AY101" s="239" t="str">
        <f t="shared" si="1500"/>
        <v>Noorwegen</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f t="shared" si="1437"/>
        <v>2</v>
      </c>
      <c r="BI101" s="238">
        <f t="shared" si="1502"/>
        <v>4</v>
      </c>
      <c r="BJ101" s="239" t="str">
        <f t="shared" si="1503"/>
        <v>Engeland</v>
      </c>
      <c r="BK101" s="240">
        <f t="shared" si="1504"/>
        <v>31</v>
      </c>
      <c r="BL101" s="239" t="str">
        <f t="shared" si="1505"/>
        <v>Noorwegen</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f t="shared" si="1439"/>
        <v>2</v>
      </c>
      <c r="BV101" s="238">
        <f t="shared" si="1507"/>
        <v>4</v>
      </c>
      <c r="BW101" s="239" t="str">
        <f t="shared" si="1508"/>
        <v>Engeland</v>
      </c>
      <c r="BX101" s="240">
        <f t="shared" si="1509"/>
        <v>31</v>
      </c>
      <c r="BY101" s="239" t="str">
        <f t="shared" si="1510"/>
        <v>Noorwegen</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f t="shared" si="1441"/>
        <v>2</v>
      </c>
      <c r="CI101" s="238">
        <f t="shared" si="1512"/>
        <v>4</v>
      </c>
      <c r="CJ101" s="239" t="str">
        <f t="shared" si="1513"/>
        <v>Engeland</v>
      </c>
      <c r="CK101" s="240">
        <f t="shared" si="1514"/>
        <v>31</v>
      </c>
      <c r="CL101" s="239" t="str">
        <f t="shared" si="1515"/>
        <v>Noorwegen</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f t="shared" si="1443"/>
        <v>2</v>
      </c>
      <c r="CV101" s="238">
        <f t="shared" si="1517"/>
        <v>4</v>
      </c>
      <c r="CW101" s="239" t="str">
        <f t="shared" si="1518"/>
        <v>Engeland</v>
      </c>
      <c r="CX101" s="240">
        <f t="shared" si="1519"/>
        <v>31</v>
      </c>
      <c r="CY101" s="239" t="str">
        <f t="shared" si="1520"/>
        <v>Noorwegen</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f t="shared" si="1445"/>
        <v>2</v>
      </c>
      <c r="DI101" s="238">
        <f t="shared" si="1522"/>
        <v>4</v>
      </c>
      <c r="DJ101" s="239" t="str">
        <f t="shared" si="1523"/>
        <v>Engeland</v>
      </c>
      <c r="DK101" s="240">
        <f t="shared" si="1524"/>
        <v>31</v>
      </c>
      <c r="DL101" s="239" t="str">
        <f t="shared" si="1525"/>
        <v>Noorwegen</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f t="shared" si="1447"/>
        <v>2</v>
      </c>
      <c r="DV101" s="238">
        <f t="shared" si="1527"/>
        <v>4</v>
      </c>
      <c r="DW101" s="239" t="str">
        <f t="shared" si="1528"/>
        <v>Engeland</v>
      </c>
      <c r="DX101" s="240">
        <f t="shared" si="1529"/>
        <v>31</v>
      </c>
      <c r="DY101" s="239" t="str">
        <f t="shared" si="1530"/>
        <v>Noorwegen</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f t="shared" si="1449"/>
        <v>2</v>
      </c>
      <c r="EI101" s="238">
        <f t="shared" si="1532"/>
        <v>4</v>
      </c>
      <c r="EJ101" s="239" t="str">
        <f t="shared" si="1533"/>
        <v>Engeland</v>
      </c>
      <c r="EK101" s="240">
        <f t="shared" si="1534"/>
        <v>31</v>
      </c>
      <c r="EL101" s="239" t="str">
        <f t="shared" si="1535"/>
        <v>Noorwegen</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f t="shared" si="1451"/>
        <v>2</v>
      </c>
      <c r="EV101" s="238">
        <f t="shared" si="1537"/>
        <v>4</v>
      </c>
      <c r="EW101" s="239" t="str">
        <f t="shared" si="1538"/>
        <v>Engeland</v>
      </c>
      <c r="EX101" s="240">
        <f t="shared" si="1539"/>
        <v>31</v>
      </c>
      <c r="EY101" s="239" t="str">
        <f t="shared" si="1540"/>
        <v>Noorwegen</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f t="shared" si="1453"/>
        <v>2</v>
      </c>
      <c r="FI101" s="238">
        <f t="shared" si="1542"/>
        <v>4</v>
      </c>
      <c r="FJ101" s="239" t="str">
        <f t="shared" si="1543"/>
        <v>Engeland</v>
      </c>
      <c r="FK101" s="240">
        <f t="shared" si="1544"/>
        <v>31</v>
      </c>
      <c r="FL101" s="239" t="str">
        <f t="shared" si="1545"/>
        <v>Noorwegen</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f t="shared" si="1455"/>
        <v>2</v>
      </c>
      <c r="FV101" s="238">
        <f t="shared" si="1547"/>
        <v>4</v>
      </c>
      <c r="FW101" s="239" t="str">
        <f t="shared" si="1548"/>
        <v>Engeland</v>
      </c>
      <c r="FX101" s="240">
        <f t="shared" si="1549"/>
        <v>31</v>
      </c>
      <c r="FY101" s="239" t="str">
        <f t="shared" si="1550"/>
        <v>Noorwegen</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f t="shared" si="1457"/>
        <v>2</v>
      </c>
      <c r="GI101" s="238">
        <f t="shared" si="1552"/>
        <v>4</v>
      </c>
      <c r="GJ101" s="239" t="str">
        <f t="shared" si="1553"/>
        <v>Engeland</v>
      </c>
      <c r="GK101" s="240">
        <f t="shared" si="1554"/>
        <v>31</v>
      </c>
      <c r="GL101" s="239" t="str">
        <f t="shared" si="1555"/>
        <v>Noorwegen</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f t="shared" si="1459"/>
        <v>2</v>
      </c>
      <c r="GV101" s="238">
        <f t="shared" si="1557"/>
        <v>4</v>
      </c>
      <c r="GW101" s="239" t="str">
        <f t="shared" si="1558"/>
        <v>Engeland</v>
      </c>
      <c r="GX101" s="240">
        <f t="shared" si="1559"/>
        <v>31</v>
      </c>
      <c r="GY101" s="239" t="str">
        <f t="shared" si="1560"/>
        <v>Noorwegen</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f t="shared" si="1461"/>
        <v>2</v>
      </c>
      <c r="HI101" s="238">
        <f t="shared" si="1562"/>
        <v>4</v>
      </c>
      <c r="HJ101" s="239" t="str">
        <f t="shared" si="1563"/>
        <v>Engeland</v>
      </c>
      <c r="HK101" s="240">
        <f t="shared" si="1564"/>
        <v>31</v>
      </c>
      <c r="HL101" s="239" t="str">
        <f t="shared" si="1565"/>
        <v>Noorwegen</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f t="shared" si="1463"/>
        <v>2</v>
      </c>
      <c r="HV101" s="238">
        <f t="shared" si="1567"/>
        <v>4</v>
      </c>
      <c r="HW101" s="239" t="str">
        <f t="shared" si="1568"/>
        <v>Engeland</v>
      </c>
      <c r="HX101" s="240">
        <f t="shared" si="1569"/>
        <v>31</v>
      </c>
      <c r="HY101" s="239" t="str">
        <f t="shared" si="1570"/>
        <v>Noorwegen</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f t="shared" si="1465"/>
        <v>2</v>
      </c>
      <c r="II101" s="238">
        <f t="shared" si="1572"/>
        <v>4</v>
      </c>
      <c r="IJ101" s="239" t="str">
        <f t="shared" si="1573"/>
        <v>Engeland</v>
      </c>
      <c r="IK101" s="240">
        <f t="shared" si="1574"/>
        <v>31</v>
      </c>
      <c r="IL101" s="239" t="str">
        <f t="shared" si="1575"/>
        <v>Noorwegen</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f t="shared" si="1467"/>
        <v>2</v>
      </c>
      <c r="IV101" s="238">
        <f t="shared" si="1577"/>
        <v>4</v>
      </c>
      <c r="IW101" s="239" t="str">
        <f t="shared" si="1578"/>
        <v>Engeland</v>
      </c>
      <c r="IX101" s="240">
        <f t="shared" si="1579"/>
        <v>31</v>
      </c>
      <c r="IY101" s="239" t="str">
        <f t="shared" si="1580"/>
        <v>Noorwegen</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f t="shared" si="1469"/>
        <v>2</v>
      </c>
      <c r="JI101" s="238">
        <f t="shared" si="1582"/>
        <v>4</v>
      </c>
      <c r="JJ101" s="239" t="str">
        <f t="shared" si="1583"/>
        <v>Engeland</v>
      </c>
      <c r="JK101" s="240">
        <f t="shared" si="1584"/>
        <v>31</v>
      </c>
      <c r="JL101" s="239" t="str">
        <f t="shared" si="1585"/>
        <v>Noorwegen</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f t="shared" si="1471"/>
        <v>2</v>
      </c>
      <c r="JV101" s="238">
        <f t="shared" si="1587"/>
        <v>4</v>
      </c>
      <c r="JW101" s="239" t="str">
        <f t="shared" si="1588"/>
        <v>Engeland</v>
      </c>
      <c r="JX101" s="240">
        <f t="shared" si="1589"/>
        <v>31</v>
      </c>
      <c r="JY101" s="239" t="str">
        <f t="shared" si="1590"/>
        <v>Noorwegen</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f t="shared" si="1473"/>
        <v>2</v>
      </c>
      <c r="KI101" s="238">
        <f t="shared" si="1592"/>
        <v>4</v>
      </c>
      <c r="KJ101" s="239" t="str">
        <f t="shared" si="1593"/>
        <v>Engeland</v>
      </c>
      <c r="KK101" s="240">
        <f t="shared" si="1594"/>
        <v>31</v>
      </c>
      <c r="KL101" s="239" t="str">
        <f t="shared" si="1595"/>
        <v>Noorwegen</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f t="shared" si="1475"/>
        <v>2</v>
      </c>
      <c r="KV101" s="238">
        <f t="shared" si="1597"/>
        <v>4</v>
      </c>
      <c r="KW101" s="239" t="str">
        <f t="shared" si="1598"/>
        <v>Engeland</v>
      </c>
      <c r="KX101" s="240">
        <f t="shared" si="1599"/>
        <v>31</v>
      </c>
      <c r="KY101" s="239" t="str">
        <f t="shared" si="1600"/>
        <v>Noorwegen</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f t="shared" si="1477"/>
        <v>2</v>
      </c>
      <c r="LI101" s="238">
        <f t="shared" si="1602"/>
        <v>4</v>
      </c>
      <c r="LJ101" s="239" t="str">
        <f t="shared" si="1603"/>
        <v>Engeland</v>
      </c>
      <c r="LK101" s="240">
        <f t="shared" si="1604"/>
        <v>31</v>
      </c>
      <c r="LL101" s="239" t="str">
        <f t="shared" si="1605"/>
        <v>Noorwegen</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f t="shared" si="1479"/>
        <v>2</v>
      </c>
      <c r="LV101" s="238">
        <f t="shared" si="1607"/>
        <v>4</v>
      </c>
      <c r="LW101" s="239" t="str">
        <f t="shared" si="1608"/>
        <v>Engeland</v>
      </c>
      <c r="LX101" s="240">
        <f t="shared" si="1609"/>
        <v>31</v>
      </c>
      <c r="LY101" s="239" t="str">
        <f t="shared" si="1610"/>
        <v>Noorwegen</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f t="shared" si="1481"/>
        <v>2</v>
      </c>
    </row>
    <row r="102" spans="1:34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f>
        <v>0</v>
      </c>
      <c r="G102" s="242">
        <f>IF(AND('World Cup'!$AL$51&lt;&gt;"",'World Cup'!$AM$51&lt;&gt;""),'World Cup'!$AM$51,"")</f>
        <v>0</v>
      </c>
      <c r="I102" s="238">
        <f t="shared" si="1482"/>
        <v>3</v>
      </c>
      <c r="J102" s="239" t="str">
        <f t="shared" si="1483"/>
        <v>Argentinië</v>
      </c>
      <c r="K102" s="240">
        <f t="shared" si="1484"/>
        <v>17</v>
      </c>
      <c r="L102" s="239" t="str">
        <f t="shared" si="1485"/>
        <v>Uruguay</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f t="shared" si="1431"/>
        <v>2</v>
      </c>
      <c r="V102" s="238">
        <f t="shared" si="1487"/>
        <v>3</v>
      </c>
      <c r="W102" s="239" t="str">
        <f t="shared" si="1488"/>
        <v>Argentinië</v>
      </c>
      <c r="X102" s="240">
        <f t="shared" si="1489"/>
        <v>17</v>
      </c>
      <c r="Y102" s="239" t="str">
        <f t="shared" si="1490"/>
        <v>Uruguay</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f t="shared" si="1433"/>
        <v>2</v>
      </c>
      <c r="AI102" s="238">
        <f t="shared" si="1492"/>
        <v>3</v>
      </c>
      <c r="AJ102" s="239" t="str">
        <f t="shared" si="1493"/>
        <v>Argentinië</v>
      </c>
      <c r="AK102" s="240">
        <f t="shared" si="1494"/>
        <v>17</v>
      </c>
      <c r="AL102" s="239" t="str">
        <f t="shared" si="1495"/>
        <v>Uruguay</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f t="shared" si="1435"/>
        <v>2</v>
      </c>
      <c r="AV102" s="238">
        <f t="shared" si="1497"/>
        <v>3</v>
      </c>
      <c r="AW102" s="239" t="str">
        <f t="shared" si="1498"/>
        <v>Argentinië</v>
      </c>
      <c r="AX102" s="240">
        <f t="shared" si="1499"/>
        <v>17</v>
      </c>
      <c r="AY102" s="239" t="str">
        <f t="shared" si="1500"/>
        <v>Uruguay</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f t="shared" si="1437"/>
        <v>2</v>
      </c>
      <c r="BI102" s="238">
        <f t="shared" si="1502"/>
        <v>3</v>
      </c>
      <c r="BJ102" s="239" t="str">
        <f t="shared" si="1503"/>
        <v>Argentinië</v>
      </c>
      <c r="BK102" s="240">
        <f t="shared" si="1504"/>
        <v>17</v>
      </c>
      <c r="BL102" s="239" t="str">
        <f t="shared" si="1505"/>
        <v>Uruguay</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f t="shared" si="1439"/>
        <v>2</v>
      </c>
      <c r="BV102" s="238">
        <f t="shared" si="1507"/>
        <v>3</v>
      </c>
      <c r="BW102" s="239" t="str">
        <f t="shared" si="1508"/>
        <v>Argentinië</v>
      </c>
      <c r="BX102" s="240">
        <f t="shared" si="1509"/>
        <v>17</v>
      </c>
      <c r="BY102" s="239" t="str">
        <f t="shared" si="1510"/>
        <v>Uruguay</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f t="shared" si="1441"/>
        <v>2</v>
      </c>
      <c r="CI102" s="238">
        <f t="shared" si="1512"/>
        <v>3</v>
      </c>
      <c r="CJ102" s="239" t="str">
        <f t="shared" si="1513"/>
        <v>Argentinië</v>
      </c>
      <c r="CK102" s="240">
        <f t="shared" si="1514"/>
        <v>17</v>
      </c>
      <c r="CL102" s="239" t="str">
        <f t="shared" si="1515"/>
        <v>Uruguay</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f t="shared" si="1443"/>
        <v>2</v>
      </c>
      <c r="CV102" s="238">
        <f t="shared" si="1517"/>
        <v>3</v>
      </c>
      <c r="CW102" s="239" t="str">
        <f t="shared" si="1518"/>
        <v>Argentinië</v>
      </c>
      <c r="CX102" s="240">
        <f t="shared" si="1519"/>
        <v>17</v>
      </c>
      <c r="CY102" s="239" t="str">
        <f t="shared" si="1520"/>
        <v>Uruguay</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f t="shared" si="1445"/>
        <v>2</v>
      </c>
      <c r="DI102" s="238">
        <f t="shared" si="1522"/>
        <v>3</v>
      </c>
      <c r="DJ102" s="239" t="str">
        <f t="shared" si="1523"/>
        <v>Argentinië</v>
      </c>
      <c r="DK102" s="240">
        <f t="shared" si="1524"/>
        <v>17</v>
      </c>
      <c r="DL102" s="239" t="str">
        <f t="shared" si="1525"/>
        <v>Uruguay</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f t="shared" si="1447"/>
        <v>2</v>
      </c>
      <c r="DV102" s="238">
        <f t="shared" si="1527"/>
        <v>3</v>
      </c>
      <c r="DW102" s="239" t="str">
        <f t="shared" si="1528"/>
        <v>Argentinië</v>
      </c>
      <c r="DX102" s="240">
        <f t="shared" si="1529"/>
        <v>17</v>
      </c>
      <c r="DY102" s="239" t="str">
        <f t="shared" si="1530"/>
        <v>Uruguay</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f t="shared" si="1449"/>
        <v>2</v>
      </c>
      <c r="EI102" s="238">
        <f t="shared" si="1532"/>
        <v>3</v>
      </c>
      <c r="EJ102" s="239" t="str">
        <f t="shared" si="1533"/>
        <v>Argentinië</v>
      </c>
      <c r="EK102" s="240">
        <f t="shared" si="1534"/>
        <v>17</v>
      </c>
      <c r="EL102" s="239" t="str">
        <f t="shared" si="1535"/>
        <v>Uruguay</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f t="shared" si="1451"/>
        <v>2</v>
      </c>
      <c r="EV102" s="238">
        <f t="shared" si="1537"/>
        <v>3</v>
      </c>
      <c r="EW102" s="239" t="str">
        <f t="shared" si="1538"/>
        <v>Argentinië</v>
      </c>
      <c r="EX102" s="240">
        <f t="shared" si="1539"/>
        <v>17</v>
      </c>
      <c r="EY102" s="239" t="str">
        <f t="shared" si="1540"/>
        <v>Uruguay</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f t="shared" si="1453"/>
        <v>2</v>
      </c>
      <c r="FI102" s="238">
        <f t="shared" si="1542"/>
        <v>3</v>
      </c>
      <c r="FJ102" s="239" t="str">
        <f t="shared" si="1543"/>
        <v>Argentinië</v>
      </c>
      <c r="FK102" s="240">
        <f t="shared" si="1544"/>
        <v>17</v>
      </c>
      <c r="FL102" s="239" t="str">
        <f t="shared" si="1545"/>
        <v>Uruguay</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f t="shared" si="1455"/>
        <v>2</v>
      </c>
      <c r="FV102" s="238">
        <f t="shared" si="1547"/>
        <v>3</v>
      </c>
      <c r="FW102" s="239" t="str">
        <f t="shared" si="1548"/>
        <v>Argentinië</v>
      </c>
      <c r="FX102" s="240">
        <f t="shared" si="1549"/>
        <v>17</v>
      </c>
      <c r="FY102" s="239" t="str">
        <f t="shared" si="1550"/>
        <v>Uruguay</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f t="shared" si="1457"/>
        <v>2</v>
      </c>
      <c r="GI102" s="238">
        <f t="shared" si="1552"/>
        <v>3</v>
      </c>
      <c r="GJ102" s="239" t="str">
        <f t="shared" si="1553"/>
        <v>Argentinië</v>
      </c>
      <c r="GK102" s="240">
        <f t="shared" si="1554"/>
        <v>17</v>
      </c>
      <c r="GL102" s="239" t="str">
        <f t="shared" si="1555"/>
        <v>Uruguay</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f t="shared" si="1459"/>
        <v>2</v>
      </c>
      <c r="GV102" s="238">
        <f t="shared" si="1557"/>
        <v>3</v>
      </c>
      <c r="GW102" s="239" t="str">
        <f t="shared" si="1558"/>
        <v>Argentinië</v>
      </c>
      <c r="GX102" s="240">
        <f t="shared" si="1559"/>
        <v>17</v>
      </c>
      <c r="GY102" s="239" t="str">
        <f t="shared" si="1560"/>
        <v>Uruguay</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f t="shared" si="1461"/>
        <v>2</v>
      </c>
      <c r="HI102" s="238">
        <f t="shared" si="1562"/>
        <v>3</v>
      </c>
      <c r="HJ102" s="239" t="str">
        <f t="shared" si="1563"/>
        <v>Argentinië</v>
      </c>
      <c r="HK102" s="240">
        <f t="shared" si="1564"/>
        <v>17</v>
      </c>
      <c r="HL102" s="239" t="str">
        <f t="shared" si="1565"/>
        <v>Uruguay</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f t="shared" si="1463"/>
        <v>2</v>
      </c>
      <c r="HV102" s="238">
        <f t="shared" si="1567"/>
        <v>3</v>
      </c>
      <c r="HW102" s="239" t="str">
        <f t="shared" si="1568"/>
        <v>Argentinië</v>
      </c>
      <c r="HX102" s="240">
        <f t="shared" si="1569"/>
        <v>17</v>
      </c>
      <c r="HY102" s="239" t="str">
        <f t="shared" si="1570"/>
        <v>Uruguay</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f t="shared" si="1465"/>
        <v>2</v>
      </c>
      <c r="II102" s="238">
        <f t="shared" si="1572"/>
        <v>3</v>
      </c>
      <c r="IJ102" s="239" t="str">
        <f t="shared" si="1573"/>
        <v>Argentinië</v>
      </c>
      <c r="IK102" s="240">
        <f t="shared" si="1574"/>
        <v>17</v>
      </c>
      <c r="IL102" s="239" t="str">
        <f t="shared" si="1575"/>
        <v>Uruguay</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f t="shared" si="1467"/>
        <v>2</v>
      </c>
      <c r="IV102" s="238">
        <f t="shared" si="1577"/>
        <v>3</v>
      </c>
      <c r="IW102" s="239" t="str">
        <f t="shared" si="1578"/>
        <v>Argentinië</v>
      </c>
      <c r="IX102" s="240">
        <f t="shared" si="1579"/>
        <v>17</v>
      </c>
      <c r="IY102" s="239" t="str">
        <f t="shared" si="1580"/>
        <v>Uruguay</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f t="shared" si="1469"/>
        <v>2</v>
      </c>
      <c r="JI102" s="238">
        <f t="shared" si="1582"/>
        <v>3</v>
      </c>
      <c r="JJ102" s="239" t="str">
        <f t="shared" si="1583"/>
        <v>Argentinië</v>
      </c>
      <c r="JK102" s="240">
        <f t="shared" si="1584"/>
        <v>17</v>
      </c>
      <c r="JL102" s="239" t="str">
        <f t="shared" si="1585"/>
        <v>Uruguay</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f t="shared" si="1471"/>
        <v>2</v>
      </c>
      <c r="JV102" s="238">
        <f t="shared" si="1587"/>
        <v>3</v>
      </c>
      <c r="JW102" s="239" t="str">
        <f t="shared" si="1588"/>
        <v>Argentinië</v>
      </c>
      <c r="JX102" s="240">
        <f t="shared" si="1589"/>
        <v>17</v>
      </c>
      <c r="JY102" s="239" t="str">
        <f t="shared" si="1590"/>
        <v>Uruguay</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f t="shared" si="1473"/>
        <v>2</v>
      </c>
      <c r="KI102" s="238">
        <f t="shared" si="1592"/>
        <v>3</v>
      </c>
      <c r="KJ102" s="239" t="str">
        <f t="shared" si="1593"/>
        <v>Argentinië</v>
      </c>
      <c r="KK102" s="240">
        <f t="shared" si="1594"/>
        <v>17</v>
      </c>
      <c r="KL102" s="239" t="str">
        <f t="shared" si="1595"/>
        <v>Uruguay</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f t="shared" si="1475"/>
        <v>2</v>
      </c>
      <c r="KV102" s="238">
        <f t="shared" si="1597"/>
        <v>3</v>
      </c>
      <c r="KW102" s="239" t="str">
        <f t="shared" si="1598"/>
        <v>Argentinië</v>
      </c>
      <c r="KX102" s="240">
        <f t="shared" si="1599"/>
        <v>17</v>
      </c>
      <c r="KY102" s="239" t="str">
        <f t="shared" si="1600"/>
        <v>Uruguay</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f t="shared" si="1477"/>
        <v>2</v>
      </c>
      <c r="LI102" s="238">
        <f t="shared" si="1602"/>
        <v>3</v>
      </c>
      <c r="LJ102" s="239" t="str">
        <f t="shared" si="1603"/>
        <v>Argentinië</v>
      </c>
      <c r="LK102" s="240">
        <f t="shared" si="1604"/>
        <v>17</v>
      </c>
      <c r="LL102" s="239" t="str">
        <f t="shared" si="1605"/>
        <v>Uruguay</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f t="shared" si="1479"/>
        <v>2</v>
      </c>
      <c r="LV102" s="238">
        <f t="shared" si="1607"/>
        <v>3</v>
      </c>
      <c r="LW102" s="239" t="str">
        <f t="shared" si="1608"/>
        <v>Argentinië</v>
      </c>
      <c r="LX102" s="240">
        <f t="shared" si="1609"/>
        <v>17</v>
      </c>
      <c r="LY102" s="239" t="str">
        <f t="shared" si="1610"/>
        <v>Uruguay</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f t="shared" si="1481"/>
        <v>2</v>
      </c>
    </row>
    <row r="103" spans="1:345">
      <c r="B103" s="238">
        <f>IF(C103="","",INDEX(Groups!$C$7:$C$65,MATCH(C103,Groups!$D$7:$D$65,0)))</f>
        <v>22</v>
      </c>
      <c r="C103" s="239" t="str">
        <f>'World Cup'!$AO$50</f>
        <v>Turkije</v>
      </c>
      <c r="D103" s="240">
        <f>IF(E103="","",INDEX(Groups!$C$7:$C$65,MATCH(E103,Groups!$D$7:$D$65,0)))</f>
        <v>85</v>
      </c>
      <c r="E103" s="239" t="str">
        <f>'World Cup'!$AP$50</f>
        <v>Nieuw-Zeeland</v>
      </c>
      <c r="F103" s="241">
        <f>IF(AND('World Cup'!$AO$51&lt;&gt;"",'World Cup'!$AP$51&lt;&gt;""),'World Cup'!$AO$51,"")</f>
        <v>0</v>
      </c>
      <c r="G103" s="242">
        <f>IF(AND('World Cup'!$AO$51&lt;&gt;"",'World Cup'!$AP$51&lt;&gt;""),'World Cup'!$AP$51,"")</f>
        <v>0</v>
      </c>
      <c r="I103" s="238">
        <f t="shared" si="1482"/>
        <v>22</v>
      </c>
      <c r="J103" s="239" t="str">
        <f t="shared" si="1483"/>
        <v>Turkije</v>
      </c>
      <c r="K103" s="240">
        <f t="shared" si="1484"/>
        <v>85</v>
      </c>
      <c r="L103" s="239" t="str">
        <f t="shared" si="1485"/>
        <v>Nieuw-Zeeland</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f t="shared" si="1431"/>
        <v>2</v>
      </c>
      <c r="V103" s="238">
        <f t="shared" si="1487"/>
        <v>22</v>
      </c>
      <c r="W103" s="239" t="str">
        <f t="shared" si="1488"/>
        <v>Turkije</v>
      </c>
      <c r="X103" s="240">
        <f t="shared" si="1489"/>
        <v>85</v>
      </c>
      <c r="Y103" s="239" t="str">
        <f t="shared" si="1490"/>
        <v>Nieuw-Zeeland</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f t="shared" si="1433"/>
        <v>2</v>
      </c>
      <c r="AI103" s="238">
        <f t="shared" si="1492"/>
        <v>22</v>
      </c>
      <c r="AJ103" s="239" t="str">
        <f t="shared" si="1493"/>
        <v>Turkije</v>
      </c>
      <c r="AK103" s="240">
        <f t="shared" si="1494"/>
        <v>85</v>
      </c>
      <c r="AL103" s="239" t="str">
        <f t="shared" si="1495"/>
        <v>Nieuw-Zeeland</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f t="shared" si="1435"/>
        <v>2</v>
      </c>
      <c r="AV103" s="238">
        <f t="shared" si="1497"/>
        <v>22</v>
      </c>
      <c r="AW103" s="239" t="str">
        <f t="shared" si="1498"/>
        <v>Turkije</v>
      </c>
      <c r="AX103" s="240">
        <f t="shared" si="1499"/>
        <v>85</v>
      </c>
      <c r="AY103" s="239" t="str">
        <f t="shared" si="1500"/>
        <v>Nieuw-Zeeland</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f t="shared" si="1437"/>
        <v>2</v>
      </c>
      <c r="BI103" s="238">
        <f t="shared" si="1502"/>
        <v>22</v>
      </c>
      <c r="BJ103" s="239" t="str">
        <f t="shared" si="1503"/>
        <v>Turkije</v>
      </c>
      <c r="BK103" s="240">
        <f t="shared" si="1504"/>
        <v>85</v>
      </c>
      <c r="BL103" s="239" t="str">
        <f t="shared" si="1505"/>
        <v>Nieuw-Zeeland</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f t="shared" si="1439"/>
        <v>2</v>
      </c>
      <c r="BV103" s="238">
        <f t="shared" si="1507"/>
        <v>22</v>
      </c>
      <c r="BW103" s="239" t="str">
        <f t="shared" si="1508"/>
        <v>Turkije</v>
      </c>
      <c r="BX103" s="240">
        <f t="shared" si="1509"/>
        <v>85</v>
      </c>
      <c r="BY103" s="239" t="str">
        <f t="shared" si="1510"/>
        <v>Nieuw-Zeeland</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f t="shared" si="1441"/>
        <v>2</v>
      </c>
      <c r="CI103" s="238">
        <f t="shared" si="1512"/>
        <v>22</v>
      </c>
      <c r="CJ103" s="239" t="str">
        <f t="shared" si="1513"/>
        <v>Turkije</v>
      </c>
      <c r="CK103" s="240">
        <f t="shared" si="1514"/>
        <v>85</v>
      </c>
      <c r="CL103" s="239" t="str">
        <f t="shared" si="1515"/>
        <v>Nieuw-Zeeland</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f t="shared" si="1443"/>
        <v>2</v>
      </c>
      <c r="CV103" s="238">
        <f t="shared" si="1517"/>
        <v>22</v>
      </c>
      <c r="CW103" s="239" t="str">
        <f t="shared" si="1518"/>
        <v>Turkije</v>
      </c>
      <c r="CX103" s="240">
        <f t="shared" si="1519"/>
        <v>85</v>
      </c>
      <c r="CY103" s="239" t="str">
        <f t="shared" si="1520"/>
        <v>Nieuw-Zeeland</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f t="shared" si="1445"/>
        <v>2</v>
      </c>
      <c r="DI103" s="238">
        <f t="shared" si="1522"/>
        <v>22</v>
      </c>
      <c r="DJ103" s="239" t="str">
        <f t="shared" si="1523"/>
        <v>Turkije</v>
      </c>
      <c r="DK103" s="240">
        <f t="shared" si="1524"/>
        <v>85</v>
      </c>
      <c r="DL103" s="239" t="str">
        <f t="shared" si="1525"/>
        <v>Nieuw-Zeeland</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f t="shared" si="1447"/>
        <v>2</v>
      </c>
      <c r="DV103" s="238">
        <f t="shared" si="1527"/>
        <v>22</v>
      </c>
      <c r="DW103" s="239" t="str">
        <f t="shared" si="1528"/>
        <v>Turkije</v>
      </c>
      <c r="DX103" s="240">
        <f t="shared" si="1529"/>
        <v>85</v>
      </c>
      <c r="DY103" s="239" t="str">
        <f t="shared" si="1530"/>
        <v>Nieuw-Zeeland</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f t="shared" si="1449"/>
        <v>2</v>
      </c>
      <c r="EI103" s="238">
        <f t="shared" si="1532"/>
        <v>22</v>
      </c>
      <c r="EJ103" s="239" t="str">
        <f t="shared" si="1533"/>
        <v>Turkije</v>
      </c>
      <c r="EK103" s="240">
        <f t="shared" si="1534"/>
        <v>85</v>
      </c>
      <c r="EL103" s="239" t="str">
        <f t="shared" si="1535"/>
        <v>Nieuw-Zeeland</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f t="shared" si="1451"/>
        <v>2</v>
      </c>
      <c r="EV103" s="238">
        <f t="shared" si="1537"/>
        <v>22</v>
      </c>
      <c r="EW103" s="239" t="str">
        <f t="shared" si="1538"/>
        <v>Turkije</v>
      </c>
      <c r="EX103" s="240">
        <f t="shared" si="1539"/>
        <v>85</v>
      </c>
      <c r="EY103" s="239" t="str">
        <f t="shared" si="1540"/>
        <v>Nieuw-Zeeland</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f t="shared" si="1453"/>
        <v>2</v>
      </c>
      <c r="FI103" s="238">
        <f t="shared" si="1542"/>
        <v>22</v>
      </c>
      <c r="FJ103" s="239" t="str">
        <f t="shared" si="1543"/>
        <v>Turkije</v>
      </c>
      <c r="FK103" s="240">
        <f t="shared" si="1544"/>
        <v>85</v>
      </c>
      <c r="FL103" s="239" t="str">
        <f t="shared" si="1545"/>
        <v>Nieuw-Zeeland</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f t="shared" si="1455"/>
        <v>2</v>
      </c>
      <c r="FV103" s="238">
        <f t="shared" si="1547"/>
        <v>22</v>
      </c>
      <c r="FW103" s="239" t="str">
        <f t="shared" si="1548"/>
        <v>Turkije</v>
      </c>
      <c r="FX103" s="240">
        <f t="shared" si="1549"/>
        <v>85</v>
      </c>
      <c r="FY103" s="239" t="str">
        <f t="shared" si="1550"/>
        <v>Nieuw-Zeeland</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f t="shared" si="1457"/>
        <v>2</v>
      </c>
      <c r="GI103" s="238">
        <f t="shared" si="1552"/>
        <v>22</v>
      </c>
      <c r="GJ103" s="239" t="str">
        <f t="shared" si="1553"/>
        <v>Turkije</v>
      </c>
      <c r="GK103" s="240">
        <f t="shared" si="1554"/>
        <v>85</v>
      </c>
      <c r="GL103" s="239" t="str">
        <f t="shared" si="1555"/>
        <v>Nieuw-Zeeland</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f t="shared" si="1459"/>
        <v>2</v>
      </c>
      <c r="GV103" s="238">
        <f t="shared" si="1557"/>
        <v>22</v>
      </c>
      <c r="GW103" s="239" t="str">
        <f t="shared" si="1558"/>
        <v>Turkije</v>
      </c>
      <c r="GX103" s="240">
        <f t="shared" si="1559"/>
        <v>85</v>
      </c>
      <c r="GY103" s="239" t="str">
        <f t="shared" si="1560"/>
        <v>Nieuw-Zeeland</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f t="shared" si="1461"/>
        <v>2</v>
      </c>
      <c r="HI103" s="238">
        <f t="shared" si="1562"/>
        <v>22</v>
      </c>
      <c r="HJ103" s="239" t="str">
        <f t="shared" si="1563"/>
        <v>Turkije</v>
      </c>
      <c r="HK103" s="240">
        <f t="shared" si="1564"/>
        <v>85</v>
      </c>
      <c r="HL103" s="239" t="str">
        <f t="shared" si="1565"/>
        <v>Nieuw-Zeeland</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f t="shared" si="1463"/>
        <v>2</v>
      </c>
      <c r="HV103" s="238">
        <f t="shared" si="1567"/>
        <v>22</v>
      </c>
      <c r="HW103" s="239" t="str">
        <f t="shared" si="1568"/>
        <v>Turkije</v>
      </c>
      <c r="HX103" s="240">
        <f t="shared" si="1569"/>
        <v>85</v>
      </c>
      <c r="HY103" s="239" t="str">
        <f t="shared" si="1570"/>
        <v>Nieuw-Zeeland</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f t="shared" si="1465"/>
        <v>2</v>
      </c>
      <c r="II103" s="238">
        <f t="shared" si="1572"/>
        <v>22</v>
      </c>
      <c r="IJ103" s="239" t="str">
        <f t="shared" si="1573"/>
        <v>Turkije</v>
      </c>
      <c r="IK103" s="240">
        <f t="shared" si="1574"/>
        <v>85</v>
      </c>
      <c r="IL103" s="239" t="str">
        <f t="shared" si="1575"/>
        <v>Nieuw-Zeeland</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f t="shared" si="1467"/>
        <v>2</v>
      </c>
      <c r="IV103" s="238">
        <f t="shared" si="1577"/>
        <v>22</v>
      </c>
      <c r="IW103" s="239" t="str">
        <f t="shared" si="1578"/>
        <v>Turkije</v>
      </c>
      <c r="IX103" s="240">
        <f t="shared" si="1579"/>
        <v>85</v>
      </c>
      <c r="IY103" s="239" t="str">
        <f t="shared" si="1580"/>
        <v>Nieuw-Zeeland</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f t="shared" si="1469"/>
        <v>2</v>
      </c>
      <c r="JI103" s="238">
        <f t="shared" si="1582"/>
        <v>22</v>
      </c>
      <c r="JJ103" s="239" t="str">
        <f t="shared" si="1583"/>
        <v>Turkije</v>
      </c>
      <c r="JK103" s="240">
        <f t="shared" si="1584"/>
        <v>85</v>
      </c>
      <c r="JL103" s="239" t="str">
        <f t="shared" si="1585"/>
        <v>Nieuw-Zeeland</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f t="shared" si="1471"/>
        <v>2</v>
      </c>
      <c r="JV103" s="238">
        <f t="shared" si="1587"/>
        <v>22</v>
      </c>
      <c r="JW103" s="239" t="str">
        <f t="shared" si="1588"/>
        <v>Turkije</v>
      </c>
      <c r="JX103" s="240">
        <f t="shared" si="1589"/>
        <v>85</v>
      </c>
      <c r="JY103" s="239" t="str">
        <f t="shared" si="1590"/>
        <v>Nieuw-Zeeland</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f t="shared" si="1473"/>
        <v>2</v>
      </c>
      <c r="KI103" s="238">
        <f t="shared" si="1592"/>
        <v>22</v>
      </c>
      <c r="KJ103" s="239" t="str">
        <f t="shared" si="1593"/>
        <v>Turkije</v>
      </c>
      <c r="KK103" s="240">
        <f t="shared" si="1594"/>
        <v>85</v>
      </c>
      <c r="KL103" s="239" t="str">
        <f t="shared" si="1595"/>
        <v>Nieuw-Zeeland</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f t="shared" si="1475"/>
        <v>2</v>
      </c>
      <c r="KV103" s="238">
        <f t="shared" si="1597"/>
        <v>22</v>
      </c>
      <c r="KW103" s="239" t="str">
        <f t="shared" si="1598"/>
        <v>Turkije</v>
      </c>
      <c r="KX103" s="240">
        <f t="shared" si="1599"/>
        <v>85</v>
      </c>
      <c r="KY103" s="239" t="str">
        <f t="shared" si="1600"/>
        <v>Nieuw-Zeeland</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f t="shared" si="1477"/>
        <v>2</v>
      </c>
      <c r="LI103" s="238">
        <f t="shared" si="1602"/>
        <v>22</v>
      </c>
      <c r="LJ103" s="239" t="str">
        <f t="shared" si="1603"/>
        <v>Turkije</v>
      </c>
      <c r="LK103" s="240">
        <f t="shared" si="1604"/>
        <v>85</v>
      </c>
      <c r="LL103" s="239" t="str">
        <f t="shared" si="1605"/>
        <v>Nieuw-Zeeland</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f t="shared" si="1479"/>
        <v>2</v>
      </c>
      <c r="LV103" s="238">
        <f t="shared" si="1607"/>
        <v>22</v>
      </c>
      <c r="LW103" s="239" t="str">
        <f t="shared" si="1608"/>
        <v>Turkije</v>
      </c>
      <c r="LX103" s="240">
        <f t="shared" si="1609"/>
        <v>85</v>
      </c>
      <c r="LY103" s="239" t="str">
        <f t="shared" si="1610"/>
        <v>Nieuw-Zeeland</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f t="shared" si="1481"/>
        <v>2</v>
      </c>
    </row>
    <row r="104" spans="1:345">
      <c r="B104" s="238">
        <f>IF(C104="","",INDEX(Groups!$C$7:$C$65,MATCH(C104,Groups!$D$7:$D$65,0)))</f>
        <v>19</v>
      </c>
      <c r="C104" s="239" t="str">
        <f>'World Cup'!$AR$50</f>
        <v>Zwitserland</v>
      </c>
      <c r="D104" s="240">
        <f>IF(E104="","",INDEX(Groups!$C$7:$C$65,MATCH(E104,Groups!$D$7:$D$65,0)))</f>
        <v>28</v>
      </c>
      <c r="E104" s="239" t="str">
        <f>'World Cup'!$AS$50</f>
        <v>Algerije</v>
      </c>
      <c r="F104" s="241">
        <f>IF(AND('World Cup'!$AR$51&lt;&gt;"",'World Cup'!$AS$51&lt;&gt;""),'World Cup'!$AR$51,"")</f>
        <v>0</v>
      </c>
      <c r="G104" s="242">
        <f>IF(AND('World Cup'!$AR$51&lt;&gt;"",'World Cup'!$AS$51&lt;&gt;""),'World Cup'!$AS$51,"")</f>
        <v>0</v>
      </c>
      <c r="I104" s="238">
        <f t="shared" si="1482"/>
        <v>19</v>
      </c>
      <c r="J104" s="239" t="str">
        <f t="shared" si="1483"/>
        <v>Zwitserland</v>
      </c>
      <c r="K104" s="240">
        <f t="shared" si="1484"/>
        <v>28</v>
      </c>
      <c r="L104" s="239" t="str">
        <f t="shared" si="1485"/>
        <v>Algerije</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f t="shared" si="1431"/>
        <v>2</v>
      </c>
      <c r="V104" s="238">
        <f t="shared" si="1487"/>
        <v>19</v>
      </c>
      <c r="W104" s="239" t="str">
        <f t="shared" si="1488"/>
        <v>Zwitserland</v>
      </c>
      <c r="X104" s="240">
        <f t="shared" si="1489"/>
        <v>28</v>
      </c>
      <c r="Y104" s="239" t="str">
        <f t="shared" si="1490"/>
        <v>Algerije</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f t="shared" si="1433"/>
        <v>2</v>
      </c>
      <c r="AI104" s="238">
        <f t="shared" si="1492"/>
        <v>19</v>
      </c>
      <c r="AJ104" s="239" t="str">
        <f t="shared" si="1493"/>
        <v>Zwitserland</v>
      </c>
      <c r="AK104" s="240">
        <f t="shared" si="1494"/>
        <v>28</v>
      </c>
      <c r="AL104" s="239" t="str">
        <f t="shared" si="1495"/>
        <v>Algerije</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f t="shared" si="1435"/>
        <v>2</v>
      </c>
      <c r="AV104" s="238">
        <f t="shared" si="1497"/>
        <v>19</v>
      </c>
      <c r="AW104" s="239" t="str">
        <f t="shared" si="1498"/>
        <v>Zwitserland</v>
      </c>
      <c r="AX104" s="240">
        <f t="shared" si="1499"/>
        <v>28</v>
      </c>
      <c r="AY104" s="239" t="str">
        <f t="shared" si="1500"/>
        <v>Algerije</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f t="shared" si="1437"/>
        <v>2</v>
      </c>
      <c r="BI104" s="238">
        <f t="shared" si="1502"/>
        <v>19</v>
      </c>
      <c r="BJ104" s="239" t="str">
        <f t="shared" si="1503"/>
        <v>Zwitserland</v>
      </c>
      <c r="BK104" s="240">
        <f t="shared" si="1504"/>
        <v>28</v>
      </c>
      <c r="BL104" s="239" t="str">
        <f t="shared" si="1505"/>
        <v>Algerije</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f t="shared" si="1439"/>
        <v>2</v>
      </c>
      <c r="BV104" s="238">
        <f t="shared" si="1507"/>
        <v>19</v>
      </c>
      <c r="BW104" s="239" t="str">
        <f t="shared" si="1508"/>
        <v>Zwitserland</v>
      </c>
      <c r="BX104" s="240">
        <f t="shared" si="1509"/>
        <v>28</v>
      </c>
      <c r="BY104" s="239" t="str">
        <f t="shared" si="1510"/>
        <v>Algerije</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f t="shared" si="1441"/>
        <v>2</v>
      </c>
      <c r="CI104" s="238">
        <f t="shared" si="1512"/>
        <v>19</v>
      </c>
      <c r="CJ104" s="239" t="str">
        <f t="shared" si="1513"/>
        <v>Zwitserland</v>
      </c>
      <c r="CK104" s="240">
        <f t="shared" si="1514"/>
        <v>28</v>
      </c>
      <c r="CL104" s="239" t="str">
        <f t="shared" si="1515"/>
        <v>Algerije</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f t="shared" si="1443"/>
        <v>2</v>
      </c>
      <c r="CV104" s="238">
        <f t="shared" si="1517"/>
        <v>19</v>
      </c>
      <c r="CW104" s="239" t="str">
        <f t="shared" si="1518"/>
        <v>Zwitserland</v>
      </c>
      <c r="CX104" s="240">
        <f t="shared" si="1519"/>
        <v>28</v>
      </c>
      <c r="CY104" s="239" t="str">
        <f t="shared" si="1520"/>
        <v>Algerije</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f t="shared" si="1445"/>
        <v>2</v>
      </c>
      <c r="DI104" s="238">
        <f t="shared" si="1522"/>
        <v>19</v>
      </c>
      <c r="DJ104" s="239" t="str">
        <f t="shared" si="1523"/>
        <v>Zwitserland</v>
      </c>
      <c r="DK104" s="240">
        <f t="shared" si="1524"/>
        <v>28</v>
      </c>
      <c r="DL104" s="239" t="str">
        <f t="shared" si="1525"/>
        <v>Algerije</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f t="shared" si="1447"/>
        <v>2</v>
      </c>
      <c r="DV104" s="238">
        <f t="shared" si="1527"/>
        <v>19</v>
      </c>
      <c r="DW104" s="239" t="str">
        <f t="shared" si="1528"/>
        <v>Zwitserland</v>
      </c>
      <c r="DX104" s="240">
        <f t="shared" si="1529"/>
        <v>28</v>
      </c>
      <c r="DY104" s="239" t="str">
        <f t="shared" si="1530"/>
        <v>Algerije</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f t="shared" si="1449"/>
        <v>2</v>
      </c>
      <c r="EI104" s="238">
        <f t="shared" si="1532"/>
        <v>19</v>
      </c>
      <c r="EJ104" s="239" t="str">
        <f t="shared" si="1533"/>
        <v>Zwitserland</v>
      </c>
      <c r="EK104" s="240">
        <f t="shared" si="1534"/>
        <v>28</v>
      </c>
      <c r="EL104" s="239" t="str">
        <f t="shared" si="1535"/>
        <v>Algerije</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f t="shared" si="1451"/>
        <v>2</v>
      </c>
      <c r="EV104" s="238">
        <f t="shared" si="1537"/>
        <v>19</v>
      </c>
      <c r="EW104" s="239" t="str">
        <f t="shared" si="1538"/>
        <v>Zwitserland</v>
      </c>
      <c r="EX104" s="240">
        <f t="shared" si="1539"/>
        <v>28</v>
      </c>
      <c r="EY104" s="239" t="str">
        <f t="shared" si="1540"/>
        <v>Algerije</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f t="shared" si="1453"/>
        <v>2</v>
      </c>
      <c r="FI104" s="238">
        <f t="shared" si="1542"/>
        <v>19</v>
      </c>
      <c r="FJ104" s="239" t="str">
        <f t="shared" si="1543"/>
        <v>Zwitserland</v>
      </c>
      <c r="FK104" s="240">
        <f t="shared" si="1544"/>
        <v>28</v>
      </c>
      <c r="FL104" s="239" t="str">
        <f t="shared" si="1545"/>
        <v>Algerije</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f t="shared" si="1455"/>
        <v>2</v>
      </c>
      <c r="FV104" s="238">
        <f t="shared" si="1547"/>
        <v>19</v>
      </c>
      <c r="FW104" s="239" t="str">
        <f t="shared" si="1548"/>
        <v>Zwitserland</v>
      </c>
      <c r="FX104" s="240">
        <f t="shared" si="1549"/>
        <v>28</v>
      </c>
      <c r="FY104" s="239" t="str">
        <f t="shared" si="1550"/>
        <v>Algerije</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f t="shared" si="1457"/>
        <v>2</v>
      </c>
      <c r="GI104" s="238">
        <f t="shared" si="1552"/>
        <v>19</v>
      </c>
      <c r="GJ104" s="239" t="str">
        <f t="shared" si="1553"/>
        <v>Zwitserland</v>
      </c>
      <c r="GK104" s="240">
        <f t="shared" si="1554"/>
        <v>28</v>
      </c>
      <c r="GL104" s="239" t="str">
        <f t="shared" si="1555"/>
        <v>Algerije</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f t="shared" si="1459"/>
        <v>2</v>
      </c>
      <c r="GV104" s="238">
        <f t="shared" si="1557"/>
        <v>19</v>
      </c>
      <c r="GW104" s="239" t="str">
        <f t="shared" si="1558"/>
        <v>Zwitserland</v>
      </c>
      <c r="GX104" s="240">
        <f t="shared" si="1559"/>
        <v>28</v>
      </c>
      <c r="GY104" s="239" t="str">
        <f t="shared" si="1560"/>
        <v>Algerije</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f t="shared" si="1461"/>
        <v>2</v>
      </c>
      <c r="HI104" s="238">
        <f t="shared" si="1562"/>
        <v>19</v>
      </c>
      <c r="HJ104" s="239" t="str">
        <f t="shared" si="1563"/>
        <v>Zwitserland</v>
      </c>
      <c r="HK104" s="240">
        <f t="shared" si="1564"/>
        <v>28</v>
      </c>
      <c r="HL104" s="239" t="str">
        <f t="shared" si="1565"/>
        <v>Algerije</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f t="shared" si="1463"/>
        <v>2</v>
      </c>
      <c r="HV104" s="238">
        <f t="shared" si="1567"/>
        <v>19</v>
      </c>
      <c r="HW104" s="239" t="str">
        <f t="shared" si="1568"/>
        <v>Zwitserland</v>
      </c>
      <c r="HX104" s="240">
        <f t="shared" si="1569"/>
        <v>28</v>
      </c>
      <c r="HY104" s="239" t="str">
        <f t="shared" si="1570"/>
        <v>Algerije</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f t="shared" si="1465"/>
        <v>2</v>
      </c>
      <c r="II104" s="238">
        <f t="shared" si="1572"/>
        <v>19</v>
      </c>
      <c r="IJ104" s="239" t="str">
        <f t="shared" si="1573"/>
        <v>Zwitserland</v>
      </c>
      <c r="IK104" s="240">
        <f t="shared" si="1574"/>
        <v>28</v>
      </c>
      <c r="IL104" s="239" t="str">
        <f t="shared" si="1575"/>
        <v>Algerije</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f t="shared" si="1467"/>
        <v>2</v>
      </c>
      <c r="IV104" s="238">
        <f t="shared" si="1577"/>
        <v>19</v>
      </c>
      <c r="IW104" s="239" t="str">
        <f t="shared" si="1578"/>
        <v>Zwitserland</v>
      </c>
      <c r="IX104" s="240">
        <f t="shared" si="1579"/>
        <v>28</v>
      </c>
      <c r="IY104" s="239" t="str">
        <f t="shared" si="1580"/>
        <v>Algerije</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f t="shared" si="1469"/>
        <v>2</v>
      </c>
      <c r="JI104" s="238">
        <f t="shared" si="1582"/>
        <v>19</v>
      </c>
      <c r="JJ104" s="239" t="str">
        <f t="shared" si="1583"/>
        <v>Zwitserland</v>
      </c>
      <c r="JK104" s="240">
        <f t="shared" si="1584"/>
        <v>28</v>
      </c>
      <c r="JL104" s="239" t="str">
        <f t="shared" si="1585"/>
        <v>Algerije</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f t="shared" si="1471"/>
        <v>2</v>
      </c>
      <c r="JV104" s="238">
        <f t="shared" si="1587"/>
        <v>19</v>
      </c>
      <c r="JW104" s="239" t="str">
        <f t="shared" si="1588"/>
        <v>Zwitserland</v>
      </c>
      <c r="JX104" s="240">
        <f t="shared" si="1589"/>
        <v>28</v>
      </c>
      <c r="JY104" s="239" t="str">
        <f t="shared" si="1590"/>
        <v>Algerije</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f t="shared" si="1473"/>
        <v>2</v>
      </c>
      <c r="KI104" s="238">
        <f t="shared" si="1592"/>
        <v>19</v>
      </c>
      <c r="KJ104" s="239" t="str">
        <f t="shared" si="1593"/>
        <v>Zwitserland</v>
      </c>
      <c r="KK104" s="240">
        <f t="shared" si="1594"/>
        <v>28</v>
      </c>
      <c r="KL104" s="239" t="str">
        <f t="shared" si="1595"/>
        <v>Algerije</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f t="shared" si="1475"/>
        <v>2</v>
      </c>
      <c r="KV104" s="238">
        <f t="shared" si="1597"/>
        <v>19</v>
      </c>
      <c r="KW104" s="239" t="str">
        <f t="shared" si="1598"/>
        <v>Zwitserland</v>
      </c>
      <c r="KX104" s="240">
        <f t="shared" si="1599"/>
        <v>28</v>
      </c>
      <c r="KY104" s="239" t="str">
        <f t="shared" si="1600"/>
        <v>Algerije</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f t="shared" si="1477"/>
        <v>2</v>
      </c>
      <c r="LI104" s="238">
        <f t="shared" si="1602"/>
        <v>19</v>
      </c>
      <c r="LJ104" s="239" t="str">
        <f t="shared" si="1603"/>
        <v>Zwitserland</v>
      </c>
      <c r="LK104" s="240">
        <f t="shared" si="1604"/>
        <v>28</v>
      </c>
      <c r="LL104" s="239" t="str">
        <f t="shared" si="1605"/>
        <v>Algerije</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f t="shared" si="1479"/>
        <v>2</v>
      </c>
      <c r="LV104" s="238">
        <f t="shared" si="1607"/>
        <v>19</v>
      </c>
      <c r="LW104" s="239" t="str">
        <f t="shared" si="1608"/>
        <v>Zwitserland</v>
      </c>
      <c r="LX104" s="240">
        <f t="shared" si="1609"/>
        <v>28</v>
      </c>
      <c r="LY104" s="239" t="str">
        <f t="shared" si="1610"/>
        <v>Algerije</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f t="shared" si="1481"/>
        <v>2</v>
      </c>
    </row>
    <row r="105" spans="1:34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f>
        <v>0</v>
      </c>
      <c r="G105" s="242">
        <f>IF(AND('World Cup'!$AU$51&lt;&gt;"",'World Cup'!$AV$51&lt;&gt;""),'World Cup'!$AV$51,"")</f>
        <v>0</v>
      </c>
      <c r="I105" s="238">
        <f t="shared" si="1482"/>
        <v>5</v>
      </c>
      <c r="J105" s="239" t="str">
        <f t="shared" si="1483"/>
        <v>Portugal</v>
      </c>
      <c r="K105" s="240">
        <f t="shared" si="1484"/>
        <v>33</v>
      </c>
      <c r="L105" s="239" t="str">
        <f t="shared" si="1485"/>
        <v>Panama</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f t="shared" si="1431"/>
        <v>2</v>
      </c>
      <c r="V105" s="238">
        <f t="shared" si="1487"/>
        <v>5</v>
      </c>
      <c r="W105" s="239" t="str">
        <f t="shared" si="1488"/>
        <v>Portugal</v>
      </c>
      <c r="X105" s="240">
        <f t="shared" si="1489"/>
        <v>33</v>
      </c>
      <c r="Y105" s="239" t="str">
        <f t="shared" si="1490"/>
        <v>Panama</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f t="shared" si="1433"/>
        <v>2</v>
      </c>
      <c r="AI105" s="238">
        <f t="shared" si="1492"/>
        <v>5</v>
      </c>
      <c r="AJ105" s="239" t="str">
        <f t="shared" si="1493"/>
        <v>Portugal</v>
      </c>
      <c r="AK105" s="240">
        <f t="shared" si="1494"/>
        <v>33</v>
      </c>
      <c r="AL105" s="239" t="str">
        <f t="shared" si="1495"/>
        <v>Panama</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f t="shared" si="1435"/>
        <v>2</v>
      </c>
      <c r="AV105" s="238">
        <f t="shared" si="1497"/>
        <v>5</v>
      </c>
      <c r="AW105" s="239" t="str">
        <f t="shared" si="1498"/>
        <v>Portugal</v>
      </c>
      <c r="AX105" s="240">
        <f t="shared" si="1499"/>
        <v>33</v>
      </c>
      <c r="AY105" s="239" t="str">
        <f t="shared" si="1500"/>
        <v>Panama</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f t="shared" si="1437"/>
        <v>2</v>
      </c>
      <c r="BI105" s="238">
        <f t="shared" si="1502"/>
        <v>5</v>
      </c>
      <c r="BJ105" s="239" t="str">
        <f t="shared" si="1503"/>
        <v>Portugal</v>
      </c>
      <c r="BK105" s="240">
        <f t="shared" si="1504"/>
        <v>33</v>
      </c>
      <c r="BL105" s="239" t="str">
        <f t="shared" si="1505"/>
        <v>Panama</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f t="shared" si="1439"/>
        <v>2</v>
      </c>
      <c r="BV105" s="238">
        <f t="shared" si="1507"/>
        <v>5</v>
      </c>
      <c r="BW105" s="239" t="str">
        <f t="shared" si="1508"/>
        <v>Portugal</v>
      </c>
      <c r="BX105" s="240">
        <f t="shared" si="1509"/>
        <v>33</v>
      </c>
      <c r="BY105" s="239" t="str">
        <f t="shared" si="1510"/>
        <v>Panama</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f t="shared" si="1441"/>
        <v>2</v>
      </c>
      <c r="CI105" s="238">
        <f t="shared" si="1512"/>
        <v>5</v>
      </c>
      <c r="CJ105" s="239" t="str">
        <f t="shared" si="1513"/>
        <v>Portugal</v>
      </c>
      <c r="CK105" s="240">
        <f t="shared" si="1514"/>
        <v>33</v>
      </c>
      <c r="CL105" s="239" t="str">
        <f t="shared" si="1515"/>
        <v>Panama</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f t="shared" si="1443"/>
        <v>2</v>
      </c>
      <c r="CV105" s="238">
        <f t="shared" si="1517"/>
        <v>5</v>
      </c>
      <c r="CW105" s="239" t="str">
        <f t="shared" si="1518"/>
        <v>Portugal</v>
      </c>
      <c r="CX105" s="240">
        <f t="shared" si="1519"/>
        <v>33</v>
      </c>
      <c r="CY105" s="239" t="str">
        <f t="shared" si="1520"/>
        <v>Panama</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f t="shared" si="1445"/>
        <v>2</v>
      </c>
      <c r="DI105" s="238">
        <f t="shared" si="1522"/>
        <v>5</v>
      </c>
      <c r="DJ105" s="239" t="str">
        <f t="shared" si="1523"/>
        <v>Portugal</v>
      </c>
      <c r="DK105" s="240">
        <f t="shared" si="1524"/>
        <v>33</v>
      </c>
      <c r="DL105" s="239" t="str">
        <f t="shared" si="1525"/>
        <v>Panama</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f t="shared" si="1447"/>
        <v>2</v>
      </c>
      <c r="DV105" s="238">
        <f t="shared" si="1527"/>
        <v>5</v>
      </c>
      <c r="DW105" s="239" t="str">
        <f t="shared" si="1528"/>
        <v>Portugal</v>
      </c>
      <c r="DX105" s="240">
        <f t="shared" si="1529"/>
        <v>33</v>
      </c>
      <c r="DY105" s="239" t="str">
        <f t="shared" si="1530"/>
        <v>Panama</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f t="shared" si="1449"/>
        <v>2</v>
      </c>
      <c r="EI105" s="238">
        <f t="shared" si="1532"/>
        <v>5</v>
      </c>
      <c r="EJ105" s="239" t="str">
        <f t="shared" si="1533"/>
        <v>Portugal</v>
      </c>
      <c r="EK105" s="240">
        <f t="shared" si="1534"/>
        <v>33</v>
      </c>
      <c r="EL105" s="239" t="str">
        <f t="shared" si="1535"/>
        <v>Panama</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f t="shared" si="1451"/>
        <v>2</v>
      </c>
      <c r="EV105" s="238">
        <f t="shared" si="1537"/>
        <v>5</v>
      </c>
      <c r="EW105" s="239" t="str">
        <f t="shared" si="1538"/>
        <v>Portugal</v>
      </c>
      <c r="EX105" s="240">
        <f t="shared" si="1539"/>
        <v>33</v>
      </c>
      <c r="EY105" s="239" t="str">
        <f t="shared" si="1540"/>
        <v>Panama</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f t="shared" si="1453"/>
        <v>2</v>
      </c>
      <c r="FI105" s="238">
        <f t="shared" si="1542"/>
        <v>5</v>
      </c>
      <c r="FJ105" s="239" t="str">
        <f t="shared" si="1543"/>
        <v>Portugal</v>
      </c>
      <c r="FK105" s="240">
        <f t="shared" si="1544"/>
        <v>33</v>
      </c>
      <c r="FL105" s="239" t="str">
        <f t="shared" si="1545"/>
        <v>Panama</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f t="shared" si="1455"/>
        <v>2</v>
      </c>
      <c r="FV105" s="238">
        <f t="shared" si="1547"/>
        <v>5</v>
      </c>
      <c r="FW105" s="239" t="str">
        <f t="shared" si="1548"/>
        <v>Portugal</v>
      </c>
      <c r="FX105" s="240">
        <f t="shared" si="1549"/>
        <v>33</v>
      </c>
      <c r="FY105" s="239" t="str">
        <f t="shared" si="1550"/>
        <v>Panama</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f t="shared" si="1457"/>
        <v>2</v>
      </c>
      <c r="GI105" s="238">
        <f t="shared" si="1552"/>
        <v>5</v>
      </c>
      <c r="GJ105" s="239" t="str">
        <f t="shared" si="1553"/>
        <v>Portugal</v>
      </c>
      <c r="GK105" s="240">
        <f t="shared" si="1554"/>
        <v>33</v>
      </c>
      <c r="GL105" s="239" t="str">
        <f t="shared" si="1555"/>
        <v>Panama</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f t="shared" si="1459"/>
        <v>2</v>
      </c>
      <c r="GV105" s="238">
        <f t="shared" si="1557"/>
        <v>5</v>
      </c>
      <c r="GW105" s="239" t="str">
        <f t="shared" si="1558"/>
        <v>Portugal</v>
      </c>
      <c r="GX105" s="240">
        <f t="shared" si="1559"/>
        <v>33</v>
      </c>
      <c r="GY105" s="239" t="str">
        <f t="shared" si="1560"/>
        <v>Panama</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f t="shared" si="1461"/>
        <v>2</v>
      </c>
      <c r="HI105" s="238">
        <f t="shared" si="1562"/>
        <v>5</v>
      </c>
      <c r="HJ105" s="239" t="str">
        <f t="shared" si="1563"/>
        <v>Portugal</v>
      </c>
      <c r="HK105" s="240">
        <f t="shared" si="1564"/>
        <v>33</v>
      </c>
      <c r="HL105" s="239" t="str">
        <f t="shared" si="1565"/>
        <v>Panama</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f t="shared" si="1463"/>
        <v>2</v>
      </c>
      <c r="HV105" s="238">
        <f t="shared" si="1567"/>
        <v>5</v>
      </c>
      <c r="HW105" s="239" t="str">
        <f t="shared" si="1568"/>
        <v>Portugal</v>
      </c>
      <c r="HX105" s="240">
        <f t="shared" si="1569"/>
        <v>33</v>
      </c>
      <c r="HY105" s="239" t="str">
        <f t="shared" si="1570"/>
        <v>Panama</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f t="shared" si="1465"/>
        <v>2</v>
      </c>
      <c r="II105" s="238">
        <f t="shared" si="1572"/>
        <v>5</v>
      </c>
      <c r="IJ105" s="239" t="str">
        <f t="shared" si="1573"/>
        <v>Portugal</v>
      </c>
      <c r="IK105" s="240">
        <f t="shared" si="1574"/>
        <v>33</v>
      </c>
      <c r="IL105" s="239" t="str">
        <f t="shared" si="1575"/>
        <v>Panama</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f t="shared" si="1467"/>
        <v>2</v>
      </c>
      <c r="IV105" s="238">
        <f t="shared" si="1577"/>
        <v>5</v>
      </c>
      <c r="IW105" s="239" t="str">
        <f t="shared" si="1578"/>
        <v>Portugal</v>
      </c>
      <c r="IX105" s="240">
        <f t="shared" si="1579"/>
        <v>33</v>
      </c>
      <c r="IY105" s="239" t="str">
        <f t="shared" si="1580"/>
        <v>Panama</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f t="shared" si="1469"/>
        <v>2</v>
      </c>
      <c r="JI105" s="238">
        <f t="shared" si="1582"/>
        <v>5</v>
      </c>
      <c r="JJ105" s="239" t="str">
        <f t="shared" si="1583"/>
        <v>Portugal</v>
      </c>
      <c r="JK105" s="240">
        <f t="shared" si="1584"/>
        <v>33</v>
      </c>
      <c r="JL105" s="239" t="str">
        <f t="shared" si="1585"/>
        <v>Panama</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f t="shared" si="1471"/>
        <v>2</v>
      </c>
      <c r="JV105" s="238">
        <f t="shared" si="1587"/>
        <v>5</v>
      </c>
      <c r="JW105" s="239" t="str">
        <f t="shared" si="1588"/>
        <v>Portugal</v>
      </c>
      <c r="JX105" s="240">
        <f t="shared" si="1589"/>
        <v>33</v>
      </c>
      <c r="JY105" s="239" t="str">
        <f t="shared" si="1590"/>
        <v>Panama</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f t="shared" si="1473"/>
        <v>2</v>
      </c>
      <c r="KI105" s="238">
        <f t="shared" si="1592"/>
        <v>5</v>
      </c>
      <c r="KJ105" s="239" t="str">
        <f t="shared" si="1593"/>
        <v>Portugal</v>
      </c>
      <c r="KK105" s="240">
        <f t="shared" si="1594"/>
        <v>33</v>
      </c>
      <c r="KL105" s="239" t="str">
        <f t="shared" si="1595"/>
        <v>Panama</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f t="shared" si="1475"/>
        <v>2</v>
      </c>
      <c r="KV105" s="238">
        <f t="shared" si="1597"/>
        <v>5</v>
      </c>
      <c r="KW105" s="239" t="str">
        <f t="shared" si="1598"/>
        <v>Portugal</v>
      </c>
      <c r="KX105" s="240">
        <f t="shared" si="1599"/>
        <v>33</v>
      </c>
      <c r="KY105" s="239" t="str">
        <f t="shared" si="1600"/>
        <v>Panama</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f t="shared" si="1477"/>
        <v>2</v>
      </c>
      <c r="LI105" s="238">
        <f t="shared" si="1602"/>
        <v>5</v>
      </c>
      <c r="LJ105" s="239" t="str">
        <f t="shared" si="1603"/>
        <v>Portugal</v>
      </c>
      <c r="LK105" s="240">
        <f t="shared" si="1604"/>
        <v>33</v>
      </c>
      <c r="LL105" s="239" t="str">
        <f t="shared" si="1605"/>
        <v>Panama</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f t="shared" si="1479"/>
        <v>2</v>
      </c>
      <c r="LV105" s="238">
        <f t="shared" si="1607"/>
        <v>5</v>
      </c>
      <c r="LW105" s="239" t="str">
        <f t="shared" si="1608"/>
        <v>Portugal</v>
      </c>
      <c r="LX105" s="240">
        <f t="shared" si="1609"/>
        <v>33</v>
      </c>
      <c r="LY105" s="239" t="str">
        <f t="shared" si="1610"/>
        <v>Panama</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f t="shared" si="1481"/>
        <v>2</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63"/>
      <c r="R106" s="250"/>
      <c r="S106" s="250"/>
      <c r="T106" s="264"/>
      <c r="V106" s="247" t="str">
        <f t="shared" si="1405"/>
        <v>Achtste finale</v>
      </c>
      <c r="W106" s="249"/>
      <c r="X106" s="249"/>
      <c r="Y106" s="250"/>
      <c r="Z106" s="279"/>
      <c r="AA106" s="280"/>
      <c r="AB106" s="251"/>
      <c r="AC106" s="263"/>
      <c r="AD106" s="263"/>
      <c r="AE106" s="250"/>
      <c r="AF106" s="250"/>
      <c r="AG106" s="264"/>
      <c r="AI106" s="247" t="str">
        <f t="shared" si="1406"/>
        <v>Achtste finale</v>
      </c>
      <c r="AJ106" s="249"/>
      <c r="AK106" s="249"/>
      <c r="AL106" s="250"/>
      <c r="AM106" s="279"/>
      <c r="AN106" s="280"/>
      <c r="AO106" s="251"/>
      <c r="AP106" s="263"/>
      <c r="AQ106" s="263"/>
      <c r="AR106" s="250"/>
      <c r="AS106" s="250"/>
      <c r="AT106" s="264"/>
      <c r="AV106" s="247" t="str">
        <f t="shared" si="1407"/>
        <v>Achtste finale</v>
      </c>
      <c r="AW106" s="249"/>
      <c r="AX106" s="249"/>
      <c r="AY106" s="250"/>
      <c r="AZ106" s="279"/>
      <c r="BA106" s="280"/>
      <c r="BB106" s="251"/>
      <c r="BC106" s="263"/>
      <c r="BD106" s="263"/>
      <c r="BE106" s="250"/>
      <c r="BF106" s="250"/>
      <c r="BG106" s="264"/>
      <c r="BI106" s="247" t="str">
        <f t="shared" si="1408"/>
        <v>Achtste finale</v>
      </c>
      <c r="BJ106" s="249"/>
      <c r="BK106" s="249"/>
      <c r="BL106" s="250"/>
      <c r="BM106" s="279"/>
      <c r="BN106" s="280"/>
      <c r="BO106" s="251"/>
      <c r="BP106" s="263"/>
      <c r="BQ106" s="263"/>
      <c r="BR106" s="250"/>
      <c r="BS106" s="250"/>
      <c r="BT106" s="264"/>
      <c r="BV106" s="247" t="str">
        <f t="shared" si="1409"/>
        <v>Achtste finale</v>
      </c>
      <c r="BW106" s="249"/>
      <c r="BX106" s="249"/>
      <c r="BY106" s="250"/>
      <c r="BZ106" s="279"/>
      <c r="CA106" s="280"/>
      <c r="CB106" s="251"/>
      <c r="CC106" s="263"/>
      <c r="CD106" s="263"/>
      <c r="CE106" s="250"/>
      <c r="CF106" s="250"/>
      <c r="CG106" s="264"/>
      <c r="CI106" s="247" t="str">
        <f t="shared" si="1410"/>
        <v>Achtste finale</v>
      </c>
      <c r="CJ106" s="249"/>
      <c r="CK106" s="249"/>
      <c r="CL106" s="250"/>
      <c r="CM106" s="279"/>
      <c r="CN106" s="280"/>
      <c r="CO106" s="251"/>
      <c r="CP106" s="263"/>
      <c r="CQ106" s="263"/>
      <c r="CR106" s="250"/>
      <c r="CS106" s="250"/>
      <c r="CT106" s="264"/>
      <c r="CV106" s="247" t="str">
        <f t="shared" si="1411"/>
        <v>Achtste finale</v>
      </c>
      <c r="CW106" s="249"/>
      <c r="CX106" s="249"/>
      <c r="CY106" s="250"/>
      <c r="CZ106" s="279"/>
      <c r="DA106" s="280"/>
      <c r="DB106" s="251"/>
      <c r="DC106" s="263"/>
      <c r="DD106" s="263"/>
      <c r="DE106" s="250"/>
      <c r="DF106" s="250"/>
      <c r="DG106" s="264"/>
      <c r="DI106" s="247" t="str">
        <f t="shared" si="1412"/>
        <v>Achtste finale</v>
      </c>
      <c r="DJ106" s="249"/>
      <c r="DK106" s="249"/>
      <c r="DL106" s="250"/>
      <c r="DM106" s="279"/>
      <c r="DN106" s="280"/>
      <c r="DO106" s="251"/>
      <c r="DP106" s="263"/>
      <c r="DQ106" s="263"/>
      <c r="DR106" s="250"/>
      <c r="DS106" s="250"/>
      <c r="DT106" s="264"/>
      <c r="DV106" s="247" t="str">
        <f t="shared" si="1413"/>
        <v>Achtste finale</v>
      </c>
      <c r="DW106" s="249"/>
      <c r="DX106" s="249"/>
      <c r="DY106" s="250"/>
      <c r="DZ106" s="279"/>
      <c r="EA106" s="280"/>
      <c r="EB106" s="251"/>
      <c r="EC106" s="263"/>
      <c r="ED106" s="263"/>
      <c r="EE106" s="250"/>
      <c r="EF106" s="250"/>
      <c r="EG106" s="264"/>
      <c r="EI106" s="247" t="str">
        <f t="shared" si="1414"/>
        <v>Achtste finale</v>
      </c>
      <c r="EJ106" s="249"/>
      <c r="EK106" s="249"/>
      <c r="EL106" s="250"/>
      <c r="EM106" s="279"/>
      <c r="EN106" s="280"/>
      <c r="EO106" s="251"/>
      <c r="EP106" s="263"/>
      <c r="EQ106" s="263"/>
      <c r="ER106" s="250"/>
      <c r="ES106" s="250"/>
      <c r="ET106" s="264"/>
      <c r="EV106" s="247" t="str">
        <f t="shared" si="1415"/>
        <v>Achtste finale</v>
      </c>
      <c r="EW106" s="249"/>
      <c r="EX106" s="249"/>
      <c r="EY106" s="250"/>
      <c r="EZ106" s="279"/>
      <c r="FA106" s="280"/>
      <c r="FB106" s="251"/>
      <c r="FC106" s="263"/>
      <c r="FD106" s="263"/>
      <c r="FE106" s="250"/>
      <c r="FF106" s="250"/>
      <c r="FG106" s="264"/>
      <c r="FI106" s="247" t="str">
        <f t="shared" si="1416"/>
        <v>Achtste finale</v>
      </c>
      <c r="FJ106" s="249"/>
      <c r="FK106" s="249"/>
      <c r="FL106" s="250"/>
      <c r="FM106" s="279"/>
      <c r="FN106" s="280"/>
      <c r="FO106" s="251"/>
      <c r="FP106" s="263"/>
      <c r="FQ106" s="263"/>
      <c r="FR106" s="250"/>
      <c r="FS106" s="250"/>
      <c r="FT106" s="264"/>
      <c r="FV106" s="247" t="str">
        <f t="shared" si="1417"/>
        <v>Achtste finale</v>
      </c>
      <c r="FW106" s="249"/>
      <c r="FX106" s="249"/>
      <c r="FY106" s="250"/>
      <c r="FZ106" s="279"/>
      <c r="GA106" s="280"/>
      <c r="GB106" s="251"/>
      <c r="GC106" s="263"/>
      <c r="GD106" s="263"/>
      <c r="GE106" s="250"/>
      <c r="GF106" s="250"/>
      <c r="GG106" s="264"/>
      <c r="GI106" s="247" t="str">
        <f t="shared" si="1418"/>
        <v>Achtste finale</v>
      </c>
      <c r="GJ106" s="249"/>
      <c r="GK106" s="249"/>
      <c r="GL106" s="250"/>
      <c r="GM106" s="279"/>
      <c r="GN106" s="280"/>
      <c r="GO106" s="251"/>
      <c r="GP106" s="263"/>
      <c r="GQ106" s="263"/>
      <c r="GR106" s="250"/>
      <c r="GS106" s="250"/>
      <c r="GT106" s="264"/>
      <c r="GV106" s="247" t="str">
        <f t="shared" si="1419"/>
        <v>Achtste finale</v>
      </c>
      <c r="GW106" s="249"/>
      <c r="GX106" s="249"/>
      <c r="GY106" s="250"/>
      <c r="GZ106" s="279"/>
      <c r="HA106" s="280"/>
      <c r="HB106" s="251"/>
      <c r="HC106" s="263"/>
      <c r="HD106" s="263"/>
      <c r="HE106" s="250"/>
      <c r="HF106" s="250"/>
      <c r="HG106" s="264"/>
      <c r="HI106" s="247" t="str">
        <f t="shared" si="1420"/>
        <v>Achtste finale</v>
      </c>
      <c r="HJ106" s="249"/>
      <c r="HK106" s="249"/>
      <c r="HL106" s="250"/>
      <c r="HM106" s="279"/>
      <c r="HN106" s="280"/>
      <c r="HO106" s="251"/>
      <c r="HP106" s="263"/>
      <c r="HQ106" s="263"/>
      <c r="HR106" s="250"/>
      <c r="HS106" s="250"/>
      <c r="HT106" s="264"/>
      <c r="HV106" s="247" t="str">
        <f t="shared" si="1421"/>
        <v>Achtste finale</v>
      </c>
      <c r="HW106" s="249"/>
      <c r="HX106" s="249"/>
      <c r="HY106" s="250"/>
      <c r="HZ106" s="279"/>
      <c r="IA106" s="280"/>
      <c r="IB106" s="251"/>
      <c r="IC106" s="263"/>
      <c r="ID106" s="263"/>
      <c r="IE106" s="250"/>
      <c r="IF106" s="250"/>
      <c r="IG106" s="264"/>
      <c r="II106" s="247" t="str">
        <f t="shared" si="1422"/>
        <v>Achtste finale</v>
      </c>
      <c r="IJ106" s="249"/>
      <c r="IK106" s="249"/>
      <c r="IL106" s="250"/>
      <c r="IM106" s="279"/>
      <c r="IN106" s="280"/>
      <c r="IO106" s="251"/>
      <c r="IP106" s="263"/>
      <c r="IQ106" s="263"/>
      <c r="IR106" s="250"/>
      <c r="IS106" s="250"/>
      <c r="IT106" s="264"/>
      <c r="IV106" s="247" t="str">
        <f t="shared" si="1423"/>
        <v>Achtste finale</v>
      </c>
      <c r="IW106" s="249"/>
      <c r="IX106" s="249"/>
      <c r="IY106" s="250"/>
      <c r="IZ106" s="279"/>
      <c r="JA106" s="280"/>
      <c r="JB106" s="251"/>
      <c r="JC106" s="263"/>
      <c r="JD106" s="263"/>
      <c r="JE106" s="250"/>
      <c r="JF106" s="250"/>
      <c r="JG106" s="264"/>
      <c r="JI106" s="247" t="str">
        <f t="shared" si="1424"/>
        <v>Achtste finale</v>
      </c>
      <c r="JJ106" s="249"/>
      <c r="JK106" s="249"/>
      <c r="JL106" s="250"/>
      <c r="JM106" s="279"/>
      <c r="JN106" s="280"/>
      <c r="JO106" s="251"/>
      <c r="JP106" s="263"/>
      <c r="JQ106" s="263"/>
      <c r="JR106" s="250"/>
      <c r="JS106" s="250"/>
      <c r="JT106" s="264"/>
      <c r="JV106" s="247" t="str">
        <f t="shared" si="1425"/>
        <v>Achtste finale</v>
      </c>
      <c r="JW106" s="249"/>
      <c r="JX106" s="249"/>
      <c r="JY106" s="250"/>
      <c r="JZ106" s="279"/>
      <c r="KA106" s="280"/>
      <c r="KB106" s="251"/>
      <c r="KC106" s="263"/>
      <c r="KD106" s="263"/>
      <c r="KE106" s="250"/>
      <c r="KF106" s="250"/>
      <c r="KG106" s="264"/>
      <c r="KI106" s="247" t="str">
        <f t="shared" si="1426"/>
        <v>Achtste finale</v>
      </c>
      <c r="KJ106" s="249"/>
      <c r="KK106" s="249"/>
      <c r="KL106" s="250"/>
      <c r="KM106" s="279"/>
      <c r="KN106" s="280"/>
      <c r="KO106" s="251"/>
      <c r="KP106" s="263"/>
      <c r="KQ106" s="263"/>
      <c r="KR106" s="250"/>
      <c r="KS106" s="250"/>
      <c r="KT106" s="264"/>
      <c r="KV106" s="247" t="str">
        <f t="shared" si="1427"/>
        <v>Achtste finale</v>
      </c>
      <c r="KW106" s="249"/>
      <c r="KX106" s="249"/>
      <c r="KY106" s="250"/>
      <c r="KZ106" s="279"/>
      <c r="LA106" s="280"/>
      <c r="LB106" s="251"/>
      <c r="LC106" s="263"/>
      <c r="LD106" s="263"/>
      <c r="LE106" s="250"/>
      <c r="LF106" s="250"/>
      <c r="LG106" s="264"/>
      <c r="LI106" s="247" t="str">
        <f t="shared" si="1428"/>
        <v>Achtste finale</v>
      </c>
      <c r="LJ106" s="249"/>
      <c r="LK106" s="249"/>
      <c r="LL106" s="250"/>
      <c r="LM106" s="279"/>
      <c r="LN106" s="280"/>
      <c r="LO106" s="251"/>
      <c r="LP106" s="263"/>
      <c r="LQ106" s="263"/>
      <c r="LR106" s="250"/>
      <c r="LS106" s="250"/>
      <c r="LT106" s="264"/>
      <c r="LV106" s="247" t="str">
        <f t="shared" si="1429"/>
        <v>Achtste finale</v>
      </c>
      <c r="LW106" s="249"/>
      <c r="LX106" s="249"/>
      <c r="LY106" s="250"/>
      <c r="LZ106" s="279"/>
      <c r="MA106" s="280"/>
      <c r="MB106" s="251"/>
      <c r="MC106" s="263"/>
      <c r="MD106" s="263"/>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f>
        <v>0</v>
      </c>
      <c r="G107" s="242">
        <f>IF(AND('World Cup'!$B$61&lt;&gt;"",'World Cup'!$C$61&lt;&gt;""),'World Cup'!$C$61,"")</f>
        <v>0</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f>
        <v>0</v>
      </c>
      <c r="G108" s="242">
        <f>IF(AND('World Cup'!$E$61&lt;&gt;"",'World Cup'!$F$61&lt;&gt;""),'World Cup'!$F$61,"")</f>
        <v>0</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f>
        <v>0</v>
      </c>
      <c r="G109" s="242">
        <f>IF(AND('World Cup'!$H$61&lt;&gt;"",'World Cup'!$I$61&lt;&gt;""),'World Cup'!$I$61,"")</f>
        <v>0</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f>
        <v>0</v>
      </c>
      <c r="G110" s="242">
        <f>IF(AND('World Cup'!$K$61&lt;&gt;"",'World Cup'!$L$61&lt;&gt;""),'World Cup'!$L$61,"")</f>
        <v>0</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f>
        <v>0</v>
      </c>
      <c r="G111" s="242">
        <f>IF(AND('World Cup'!$N$61&lt;&gt;"",'World Cup'!$O$61&lt;&gt;""),'World Cup'!$O$61,"")</f>
        <v>0</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f>
        <v>0</v>
      </c>
      <c r="G112" s="242">
        <f>IF(AND('World Cup'!$Q$61&lt;&gt;"",'World Cup'!$R$61&lt;&gt;""),'World Cup'!$R$61,"")</f>
        <v>0</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f>
        <v>0</v>
      </c>
      <c r="G113" s="242">
        <f>IF(AND('World Cup'!$T$61&lt;&gt;"",'World Cup'!$U$61&lt;&gt;""),'World Cup'!$U$61,"")</f>
        <v>0</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f>
        <v>0</v>
      </c>
      <c r="G114" s="242">
        <f>IF(AND('World Cup'!$W$61&lt;&gt;"",'World Cup'!$X$61&lt;&gt;""),'World Cup'!$X$61,"")</f>
        <v>0</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51"/>
      <c r="Q115" s="263"/>
      <c r="R115" s="250"/>
      <c r="S115" s="250"/>
      <c r="T115" s="264"/>
      <c r="V115" s="247" t="str">
        <f>$B115</f>
        <v>Kwart finale</v>
      </c>
      <c r="W115" s="249"/>
      <c r="X115" s="249"/>
      <c r="Y115" s="250"/>
      <c r="Z115" s="279"/>
      <c r="AA115" s="280"/>
      <c r="AB115" s="251"/>
      <c r="AC115" s="251"/>
      <c r="AD115" s="263"/>
      <c r="AE115" s="250"/>
      <c r="AF115" s="250"/>
      <c r="AG115" s="264"/>
      <c r="AI115" s="247" t="str">
        <f>$B115</f>
        <v>Kwart finale</v>
      </c>
      <c r="AJ115" s="249"/>
      <c r="AK115" s="249"/>
      <c r="AL115" s="250"/>
      <c r="AM115" s="279"/>
      <c r="AN115" s="280"/>
      <c r="AO115" s="251"/>
      <c r="AP115" s="251"/>
      <c r="AQ115" s="263"/>
      <c r="AR115" s="250"/>
      <c r="AS115" s="250"/>
      <c r="AT115" s="264"/>
      <c r="AV115" s="247" t="str">
        <f>$B115</f>
        <v>Kwart finale</v>
      </c>
      <c r="AW115" s="249"/>
      <c r="AX115" s="249"/>
      <c r="AY115" s="250"/>
      <c r="AZ115" s="279"/>
      <c r="BA115" s="280"/>
      <c r="BB115" s="251"/>
      <c r="BC115" s="251"/>
      <c r="BD115" s="263"/>
      <c r="BE115" s="250"/>
      <c r="BF115" s="250"/>
      <c r="BG115" s="264"/>
      <c r="BI115" s="247" t="str">
        <f>$B115</f>
        <v>Kwart finale</v>
      </c>
      <c r="BJ115" s="249"/>
      <c r="BK115" s="249"/>
      <c r="BL115" s="250"/>
      <c r="BM115" s="279"/>
      <c r="BN115" s="280"/>
      <c r="BO115" s="251"/>
      <c r="BP115" s="251"/>
      <c r="BQ115" s="263"/>
      <c r="BR115" s="250"/>
      <c r="BS115" s="250"/>
      <c r="BT115" s="264"/>
      <c r="BV115" s="247" t="str">
        <f>$B115</f>
        <v>Kwart finale</v>
      </c>
      <c r="BW115" s="249"/>
      <c r="BX115" s="249"/>
      <c r="BY115" s="250"/>
      <c r="BZ115" s="279"/>
      <c r="CA115" s="280"/>
      <c r="CB115" s="251"/>
      <c r="CC115" s="251"/>
      <c r="CD115" s="263"/>
      <c r="CE115" s="250"/>
      <c r="CF115" s="250"/>
      <c r="CG115" s="264"/>
      <c r="CI115" s="247" t="str">
        <f>$B115</f>
        <v>Kwart finale</v>
      </c>
      <c r="CJ115" s="249"/>
      <c r="CK115" s="249"/>
      <c r="CL115" s="250"/>
      <c r="CM115" s="279"/>
      <c r="CN115" s="280"/>
      <c r="CO115" s="251"/>
      <c r="CP115" s="251"/>
      <c r="CQ115" s="263"/>
      <c r="CR115" s="250"/>
      <c r="CS115" s="250"/>
      <c r="CT115" s="264"/>
      <c r="CV115" s="247" t="str">
        <f>$B115</f>
        <v>Kwart finale</v>
      </c>
      <c r="CW115" s="249"/>
      <c r="CX115" s="249"/>
      <c r="CY115" s="250"/>
      <c r="CZ115" s="279"/>
      <c r="DA115" s="280"/>
      <c r="DB115" s="251"/>
      <c r="DC115" s="251"/>
      <c r="DD115" s="263"/>
      <c r="DE115" s="250"/>
      <c r="DF115" s="250"/>
      <c r="DG115" s="264"/>
      <c r="DI115" s="247" t="str">
        <f>$B115</f>
        <v>Kwart finale</v>
      </c>
      <c r="DJ115" s="249"/>
      <c r="DK115" s="249"/>
      <c r="DL115" s="250"/>
      <c r="DM115" s="279"/>
      <c r="DN115" s="280"/>
      <c r="DO115" s="251"/>
      <c r="DP115" s="251"/>
      <c r="DQ115" s="263"/>
      <c r="DR115" s="250"/>
      <c r="DS115" s="250"/>
      <c r="DT115" s="264"/>
      <c r="DV115" s="247" t="str">
        <f>$B115</f>
        <v>Kwart finale</v>
      </c>
      <c r="DW115" s="249"/>
      <c r="DX115" s="249"/>
      <c r="DY115" s="250"/>
      <c r="DZ115" s="279"/>
      <c r="EA115" s="280"/>
      <c r="EB115" s="251"/>
      <c r="EC115" s="251"/>
      <c r="ED115" s="263"/>
      <c r="EE115" s="250"/>
      <c r="EF115" s="250"/>
      <c r="EG115" s="264"/>
      <c r="EI115" s="247" t="str">
        <f>$B115</f>
        <v>Kwart finale</v>
      </c>
      <c r="EJ115" s="249"/>
      <c r="EK115" s="249"/>
      <c r="EL115" s="250"/>
      <c r="EM115" s="279"/>
      <c r="EN115" s="280"/>
      <c r="EO115" s="251"/>
      <c r="EP115" s="251"/>
      <c r="EQ115" s="263"/>
      <c r="ER115" s="250"/>
      <c r="ES115" s="250"/>
      <c r="ET115" s="264"/>
      <c r="EV115" s="247" t="str">
        <f>$B115</f>
        <v>Kwart finale</v>
      </c>
      <c r="EW115" s="249"/>
      <c r="EX115" s="249"/>
      <c r="EY115" s="250"/>
      <c r="EZ115" s="279"/>
      <c r="FA115" s="280"/>
      <c r="FB115" s="251"/>
      <c r="FC115" s="251"/>
      <c r="FD115" s="263"/>
      <c r="FE115" s="250"/>
      <c r="FF115" s="250"/>
      <c r="FG115" s="264"/>
      <c r="FI115" s="247" t="str">
        <f>$B115</f>
        <v>Kwart finale</v>
      </c>
      <c r="FJ115" s="249"/>
      <c r="FK115" s="249"/>
      <c r="FL115" s="250"/>
      <c r="FM115" s="279"/>
      <c r="FN115" s="280"/>
      <c r="FO115" s="251"/>
      <c r="FP115" s="251"/>
      <c r="FQ115" s="263"/>
      <c r="FR115" s="250"/>
      <c r="FS115" s="250"/>
      <c r="FT115" s="264"/>
      <c r="FV115" s="247" t="str">
        <f>$B115</f>
        <v>Kwart finale</v>
      </c>
      <c r="FW115" s="249"/>
      <c r="FX115" s="249"/>
      <c r="FY115" s="250"/>
      <c r="FZ115" s="279"/>
      <c r="GA115" s="280"/>
      <c r="GB115" s="251"/>
      <c r="GC115" s="251"/>
      <c r="GD115" s="263"/>
      <c r="GE115" s="250"/>
      <c r="GF115" s="250"/>
      <c r="GG115" s="264"/>
      <c r="GI115" s="247" t="str">
        <f>$B115</f>
        <v>Kwart finale</v>
      </c>
      <c r="GJ115" s="249"/>
      <c r="GK115" s="249"/>
      <c r="GL115" s="250"/>
      <c r="GM115" s="279"/>
      <c r="GN115" s="280"/>
      <c r="GO115" s="251"/>
      <c r="GP115" s="251"/>
      <c r="GQ115" s="263"/>
      <c r="GR115" s="250"/>
      <c r="GS115" s="250"/>
      <c r="GT115" s="264"/>
      <c r="GV115" s="247" t="str">
        <f>$B115</f>
        <v>Kwart finale</v>
      </c>
      <c r="GW115" s="249"/>
      <c r="GX115" s="249"/>
      <c r="GY115" s="250"/>
      <c r="GZ115" s="279"/>
      <c r="HA115" s="280"/>
      <c r="HB115" s="251"/>
      <c r="HC115" s="251"/>
      <c r="HD115" s="263"/>
      <c r="HE115" s="250"/>
      <c r="HF115" s="250"/>
      <c r="HG115" s="264"/>
      <c r="HI115" s="247" t="str">
        <f>$B115</f>
        <v>Kwart finale</v>
      </c>
      <c r="HJ115" s="249"/>
      <c r="HK115" s="249"/>
      <c r="HL115" s="250"/>
      <c r="HM115" s="279"/>
      <c r="HN115" s="280"/>
      <c r="HO115" s="251"/>
      <c r="HP115" s="251"/>
      <c r="HQ115" s="263"/>
      <c r="HR115" s="250"/>
      <c r="HS115" s="250"/>
      <c r="HT115" s="264"/>
      <c r="HV115" s="247" t="str">
        <f>$B115</f>
        <v>Kwart finale</v>
      </c>
      <c r="HW115" s="249"/>
      <c r="HX115" s="249"/>
      <c r="HY115" s="250"/>
      <c r="HZ115" s="279"/>
      <c r="IA115" s="280"/>
      <c r="IB115" s="251"/>
      <c r="IC115" s="251"/>
      <c r="ID115" s="263"/>
      <c r="IE115" s="250"/>
      <c r="IF115" s="250"/>
      <c r="IG115" s="264"/>
      <c r="II115" s="247" t="str">
        <f>$B115</f>
        <v>Kwart finale</v>
      </c>
      <c r="IJ115" s="249"/>
      <c r="IK115" s="249"/>
      <c r="IL115" s="250"/>
      <c r="IM115" s="279"/>
      <c r="IN115" s="280"/>
      <c r="IO115" s="251"/>
      <c r="IP115" s="251"/>
      <c r="IQ115" s="263"/>
      <c r="IR115" s="250"/>
      <c r="IS115" s="250"/>
      <c r="IT115" s="264"/>
      <c r="IV115" s="247" t="str">
        <f>$B115</f>
        <v>Kwart finale</v>
      </c>
      <c r="IW115" s="249"/>
      <c r="IX115" s="249"/>
      <c r="IY115" s="250"/>
      <c r="IZ115" s="279"/>
      <c r="JA115" s="280"/>
      <c r="JB115" s="251"/>
      <c r="JC115" s="251"/>
      <c r="JD115" s="263"/>
      <c r="JE115" s="250"/>
      <c r="JF115" s="250"/>
      <c r="JG115" s="264"/>
      <c r="JI115" s="247" t="str">
        <f>$B115</f>
        <v>Kwart finale</v>
      </c>
      <c r="JJ115" s="249"/>
      <c r="JK115" s="249"/>
      <c r="JL115" s="250"/>
      <c r="JM115" s="279"/>
      <c r="JN115" s="280"/>
      <c r="JO115" s="251"/>
      <c r="JP115" s="251"/>
      <c r="JQ115" s="263"/>
      <c r="JR115" s="250"/>
      <c r="JS115" s="250"/>
      <c r="JT115" s="264"/>
      <c r="JV115" s="247" t="str">
        <f>$B115</f>
        <v>Kwart finale</v>
      </c>
      <c r="JW115" s="249"/>
      <c r="JX115" s="249"/>
      <c r="JY115" s="250"/>
      <c r="JZ115" s="279"/>
      <c r="KA115" s="280"/>
      <c r="KB115" s="251"/>
      <c r="KC115" s="251"/>
      <c r="KD115" s="263"/>
      <c r="KE115" s="250"/>
      <c r="KF115" s="250"/>
      <c r="KG115" s="264"/>
      <c r="KI115" s="247" t="str">
        <f>$B115</f>
        <v>Kwart finale</v>
      </c>
      <c r="KJ115" s="249"/>
      <c r="KK115" s="249"/>
      <c r="KL115" s="250"/>
      <c r="KM115" s="279"/>
      <c r="KN115" s="280"/>
      <c r="KO115" s="251"/>
      <c r="KP115" s="251"/>
      <c r="KQ115" s="263"/>
      <c r="KR115" s="250"/>
      <c r="KS115" s="250"/>
      <c r="KT115" s="264"/>
      <c r="KV115" s="247" t="str">
        <f>$B115</f>
        <v>Kwart finale</v>
      </c>
      <c r="KW115" s="249"/>
      <c r="KX115" s="249"/>
      <c r="KY115" s="250"/>
      <c r="KZ115" s="279"/>
      <c r="LA115" s="280"/>
      <c r="LB115" s="251"/>
      <c r="LC115" s="251"/>
      <c r="LD115" s="263"/>
      <c r="LE115" s="250"/>
      <c r="LF115" s="250"/>
      <c r="LG115" s="264"/>
      <c r="LI115" s="247" t="str">
        <f>$B115</f>
        <v>Kwart finale</v>
      </c>
      <c r="LJ115" s="249"/>
      <c r="LK115" s="249"/>
      <c r="LL115" s="250"/>
      <c r="LM115" s="279"/>
      <c r="LN115" s="280"/>
      <c r="LO115" s="251"/>
      <c r="LP115" s="251"/>
      <c r="LQ115" s="263"/>
      <c r="LR115" s="250"/>
      <c r="LS115" s="250"/>
      <c r="LT115" s="264"/>
      <c r="LV115" s="247" t="str">
        <f>$B115</f>
        <v>Kwart finale</v>
      </c>
      <c r="LW115" s="249"/>
      <c r="LX115" s="249"/>
      <c r="LY115" s="250"/>
      <c r="LZ115" s="279"/>
      <c r="MA115" s="280"/>
      <c r="MB115" s="251"/>
      <c r="MC115" s="251"/>
      <c r="MD115" s="263"/>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f>
        <v>0</v>
      </c>
      <c r="G116" s="242">
        <f>IF(AND('World Cup'!$C$71&lt;&gt;"",'World Cup'!$E$71&lt;&gt;""),'World Cup'!$E$71,"")</f>
        <v>0</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f>
        <v>0</v>
      </c>
      <c r="G117" s="242">
        <f>IF(AND('World Cup'!$I$71&lt;&gt;"",'World Cup'!$K$71&lt;&gt;""),'World Cup'!$K$71,"")</f>
        <v>0</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f>
        <v>0</v>
      </c>
      <c r="G118" s="242">
        <f>IF(AND('World Cup'!$O$71&lt;&gt;"",'World Cup'!$Q$71&lt;&gt;""),'World Cup'!$Q$71,"")</f>
        <v>0</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f>
        <v>0</v>
      </c>
      <c r="G119" s="242">
        <f>IF(AND('World Cup'!$U$71&lt;&gt;"",'World Cup'!$W$71&lt;&gt;""),'World Cup'!$W$71,"")</f>
        <v>0</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51"/>
      <c r="Q120" s="263"/>
      <c r="R120" s="250"/>
      <c r="S120" s="250"/>
      <c r="T120" s="264"/>
      <c r="V120" s="247" t="str">
        <f>$B120</f>
        <v>Halve finale</v>
      </c>
      <c r="W120" s="249"/>
      <c r="X120" s="249"/>
      <c r="Y120" s="250"/>
      <c r="Z120" s="279"/>
      <c r="AA120" s="280"/>
      <c r="AB120" s="251"/>
      <c r="AC120" s="251"/>
      <c r="AD120" s="263"/>
      <c r="AE120" s="250"/>
      <c r="AF120" s="250"/>
      <c r="AG120" s="264"/>
      <c r="AI120" s="247" t="str">
        <f>$B120</f>
        <v>Halve finale</v>
      </c>
      <c r="AJ120" s="249"/>
      <c r="AK120" s="249"/>
      <c r="AL120" s="250"/>
      <c r="AM120" s="279"/>
      <c r="AN120" s="280"/>
      <c r="AO120" s="251"/>
      <c r="AP120" s="251"/>
      <c r="AQ120" s="263"/>
      <c r="AR120" s="250"/>
      <c r="AS120" s="250"/>
      <c r="AT120" s="264"/>
      <c r="AV120" s="247" t="str">
        <f>$B120</f>
        <v>Halve finale</v>
      </c>
      <c r="AW120" s="249"/>
      <c r="AX120" s="249"/>
      <c r="AY120" s="250"/>
      <c r="AZ120" s="279"/>
      <c r="BA120" s="280"/>
      <c r="BB120" s="251"/>
      <c r="BC120" s="251"/>
      <c r="BD120" s="263"/>
      <c r="BE120" s="250"/>
      <c r="BF120" s="250"/>
      <c r="BG120" s="264"/>
      <c r="BI120" s="247" t="str">
        <f>$B120</f>
        <v>Halve finale</v>
      </c>
      <c r="BJ120" s="249"/>
      <c r="BK120" s="249"/>
      <c r="BL120" s="250"/>
      <c r="BM120" s="279"/>
      <c r="BN120" s="280"/>
      <c r="BO120" s="251"/>
      <c r="BP120" s="251"/>
      <c r="BQ120" s="263"/>
      <c r="BR120" s="250"/>
      <c r="BS120" s="250"/>
      <c r="BT120" s="264"/>
      <c r="BV120" s="247" t="str">
        <f>$B120</f>
        <v>Halve finale</v>
      </c>
      <c r="BW120" s="249"/>
      <c r="BX120" s="249"/>
      <c r="BY120" s="250"/>
      <c r="BZ120" s="279"/>
      <c r="CA120" s="280"/>
      <c r="CB120" s="251"/>
      <c r="CC120" s="251"/>
      <c r="CD120" s="263"/>
      <c r="CE120" s="250"/>
      <c r="CF120" s="250"/>
      <c r="CG120" s="264"/>
      <c r="CI120" s="247" t="str">
        <f>$B120</f>
        <v>Halve finale</v>
      </c>
      <c r="CJ120" s="249"/>
      <c r="CK120" s="249"/>
      <c r="CL120" s="250"/>
      <c r="CM120" s="279"/>
      <c r="CN120" s="280"/>
      <c r="CO120" s="251"/>
      <c r="CP120" s="251"/>
      <c r="CQ120" s="263"/>
      <c r="CR120" s="250"/>
      <c r="CS120" s="250"/>
      <c r="CT120" s="264"/>
      <c r="CV120" s="247" t="str">
        <f>$B120</f>
        <v>Halve finale</v>
      </c>
      <c r="CW120" s="249"/>
      <c r="CX120" s="249"/>
      <c r="CY120" s="250"/>
      <c r="CZ120" s="279"/>
      <c r="DA120" s="280"/>
      <c r="DB120" s="251"/>
      <c r="DC120" s="251"/>
      <c r="DD120" s="263"/>
      <c r="DE120" s="250"/>
      <c r="DF120" s="250"/>
      <c r="DG120" s="264"/>
      <c r="DI120" s="247" t="str">
        <f>$B120</f>
        <v>Halve finale</v>
      </c>
      <c r="DJ120" s="249"/>
      <c r="DK120" s="249"/>
      <c r="DL120" s="250"/>
      <c r="DM120" s="279"/>
      <c r="DN120" s="280"/>
      <c r="DO120" s="251"/>
      <c r="DP120" s="251"/>
      <c r="DQ120" s="263"/>
      <c r="DR120" s="250"/>
      <c r="DS120" s="250"/>
      <c r="DT120" s="264"/>
      <c r="DV120" s="247" t="str">
        <f>$B120</f>
        <v>Halve finale</v>
      </c>
      <c r="DW120" s="249"/>
      <c r="DX120" s="249"/>
      <c r="DY120" s="250"/>
      <c r="DZ120" s="279"/>
      <c r="EA120" s="280"/>
      <c r="EB120" s="251"/>
      <c r="EC120" s="251"/>
      <c r="ED120" s="263"/>
      <c r="EE120" s="250"/>
      <c r="EF120" s="250"/>
      <c r="EG120" s="264"/>
      <c r="EI120" s="247" t="str">
        <f>$B120</f>
        <v>Halve finale</v>
      </c>
      <c r="EJ120" s="249"/>
      <c r="EK120" s="249"/>
      <c r="EL120" s="250"/>
      <c r="EM120" s="279"/>
      <c r="EN120" s="280"/>
      <c r="EO120" s="251"/>
      <c r="EP120" s="251"/>
      <c r="EQ120" s="263"/>
      <c r="ER120" s="250"/>
      <c r="ES120" s="250"/>
      <c r="ET120" s="264"/>
      <c r="EV120" s="247" t="str">
        <f>$B120</f>
        <v>Halve finale</v>
      </c>
      <c r="EW120" s="249"/>
      <c r="EX120" s="249"/>
      <c r="EY120" s="250"/>
      <c r="EZ120" s="279"/>
      <c r="FA120" s="280"/>
      <c r="FB120" s="251"/>
      <c r="FC120" s="251"/>
      <c r="FD120" s="263"/>
      <c r="FE120" s="250"/>
      <c r="FF120" s="250"/>
      <c r="FG120" s="264"/>
      <c r="FI120" s="247" t="str">
        <f>$B120</f>
        <v>Halve finale</v>
      </c>
      <c r="FJ120" s="249"/>
      <c r="FK120" s="249"/>
      <c r="FL120" s="250"/>
      <c r="FM120" s="279"/>
      <c r="FN120" s="280"/>
      <c r="FO120" s="251"/>
      <c r="FP120" s="251"/>
      <c r="FQ120" s="263"/>
      <c r="FR120" s="250"/>
      <c r="FS120" s="250"/>
      <c r="FT120" s="264"/>
      <c r="FV120" s="247" t="str">
        <f>$B120</f>
        <v>Halve finale</v>
      </c>
      <c r="FW120" s="249"/>
      <c r="FX120" s="249"/>
      <c r="FY120" s="250"/>
      <c r="FZ120" s="279"/>
      <c r="GA120" s="280"/>
      <c r="GB120" s="251"/>
      <c r="GC120" s="251"/>
      <c r="GD120" s="263"/>
      <c r="GE120" s="250"/>
      <c r="GF120" s="250"/>
      <c r="GG120" s="264"/>
      <c r="GI120" s="247" t="str">
        <f>$B120</f>
        <v>Halve finale</v>
      </c>
      <c r="GJ120" s="249"/>
      <c r="GK120" s="249"/>
      <c r="GL120" s="250"/>
      <c r="GM120" s="279"/>
      <c r="GN120" s="280"/>
      <c r="GO120" s="251"/>
      <c r="GP120" s="251"/>
      <c r="GQ120" s="263"/>
      <c r="GR120" s="250"/>
      <c r="GS120" s="250"/>
      <c r="GT120" s="264"/>
      <c r="GV120" s="247" t="str">
        <f>$B120</f>
        <v>Halve finale</v>
      </c>
      <c r="GW120" s="249"/>
      <c r="GX120" s="249"/>
      <c r="GY120" s="250"/>
      <c r="GZ120" s="279"/>
      <c r="HA120" s="280"/>
      <c r="HB120" s="251"/>
      <c r="HC120" s="251"/>
      <c r="HD120" s="263"/>
      <c r="HE120" s="250"/>
      <c r="HF120" s="250"/>
      <c r="HG120" s="264"/>
      <c r="HI120" s="247" t="str">
        <f>$B120</f>
        <v>Halve finale</v>
      </c>
      <c r="HJ120" s="249"/>
      <c r="HK120" s="249"/>
      <c r="HL120" s="250"/>
      <c r="HM120" s="279"/>
      <c r="HN120" s="280"/>
      <c r="HO120" s="251"/>
      <c r="HP120" s="251"/>
      <c r="HQ120" s="263"/>
      <c r="HR120" s="250"/>
      <c r="HS120" s="250"/>
      <c r="HT120" s="264"/>
      <c r="HV120" s="247" t="str">
        <f>$B120</f>
        <v>Halve finale</v>
      </c>
      <c r="HW120" s="249"/>
      <c r="HX120" s="249"/>
      <c r="HY120" s="250"/>
      <c r="HZ120" s="279"/>
      <c r="IA120" s="280"/>
      <c r="IB120" s="251"/>
      <c r="IC120" s="251"/>
      <c r="ID120" s="263"/>
      <c r="IE120" s="250"/>
      <c r="IF120" s="250"/>
      <c r="IG120" s="264"/>
      <c r="II120" s="247" t="str">
        <f>$B120</f>
        <v>Halve finale</v>
      </c>
      <c r="IJ120" s="249"/>
      <c r="IK120" s="249"/>
      <c r="IL120" s="250"/>
      <c r="IM120" s="279"/>
      <c r="IN120" s="280"/>
      <c r="IO120" s="251"/>
      <c r="IP120" s="251"/>
      <c r="IQ120" s="263"/>
      <c r="IR120" s="250"/>
      <c r="IS120" s="250"/>
      <c r="IT120" s="264"/>
      <c r="IV120" s="247" t="str">
        <f>$B120</f>
        <v>Halve finale</v>
      </c>
      <c r="IW120" s="249"/>
      <c r="IX120" s="249"/>
      <c r="IY120" s="250"/>
      <c r="IZ120" s="279"/>
      <c r="JA120" s="280"/>
      <c r="JB120" s="251"/>
      <c r="JC120" s="251"/>
      <c r="JD120" s="263"/>
      <c r="JE120" s="250"/>
      <c r="JF120" s="250"/>
      <c r="JG120" s="264"/>
      <c r="JI120" s="247" t="str">
        <f>$B120</f>
        <v>Halve finale</v>
      </c>
      <c r="JJ120" s="249"/>
      <c r="JK120" s="249"/>
      <c r="JL120" s="250"/>
      <c r="JM120" s="279"/>
      <c r="JN120" s="280"/>
      <c r="JO120" s="251"/>
      <c r="JP120" s="251"/>
      <c r="JQ120" s="263"/>
      <c r="JR120" s="250"/>
      <c r="JS120" s="250"/>
      <c r="JT120" s="264"/>
      <c r="JV120" s="247" t="str">
        <f>$B120</f>
        <v>Halve finale</v>
      </c>
      <c r="JW120" s="249"/>
      <c r="JX120" s="249"/>
      <c r="JY120" s="250"/>
      <c r="JZ120" s="279"/>
      <c r="KA120" s="280"/>
      <c r="KB120" s="251"/>
      <c r="KC120" s="251"/>
      <c r="KD120" s="263"/>
      <c r="KE120" s="250"/>
      <c r="KF120" s="250"/>
      <c r="KG120" s="264"/>
      <c r="KI120" s="247" t="str">
        <f>$B120</f>
        <v>Halve finale</v>
      </c>
      <c r="KJ120" s="249"/>
      <c r="KK120" s="249"/>
      <c r="KL120" s="250"/>
      <c r="KM120" s="279"/>
      <c r="KN120" s="280"/>
      <c r="KO120" s="251"/>
      <c r="KP120" s="251"/>
      <c r="KQ120" s="263"/>
      <c r="KR120" s="250"/>
      <c r="KS120" s="250"/>
      <c r="KT120" s="264"/>
      <c r="KV120" s="247" t="str">
        <f>$B120</f>
        <v>Halve finale</v>
      </c>
      <c r="KW120" s="249"/>
      <c r="KX120" s="249"/>
      <c r="KY120" s="250"/>
      <c r="KZ120" s="279"/>
      <c r="LA120" s="280"/>
      <c r="LB120" s="251"/>
      <c r="LC120" s="251"/>
      <c r="LD120" s="263"/>
      <c r="LE120" s="250"/>
      <c r="LF120" s="250"/>
      <c r="LG120" s="264"/>
      <c r="LI120" s="247" t="str">
        <f>$B120</f>
        <v>Halve finale</v>
      </c>
      <c r="LJ120" s="249"/>
      <c r="LK120" s="249"/>
      <c r="LL120" s="250"/>
      <c r="LM120" s="279"/>
      <c r="LN120" s="280"/>
      <c r="LO120" s="251"/>
      <c r="LP120" s="251"/>
      <c r="LQ120" s="263"/>
      <c r="LR120" s="250"/>
      <c r="LS120" s="250"/>
      <c r="LT120" s="264"/>
      <c r="LV120" s="247" t="str">
        <f>$B120</f>
        <v>Halve finale</v>
      </c>
      <c r="LW120" s="249"/>
      <c r="LX120" s="249"/>
      <c r="LY120" s="250"/>
      <c r="LZ120" s="279"/>
      <c r="MA120" s="280"/>
      <c r="MB120" s="251"/>
      <c r="MC120" s="251"/>
      <c r="MD120" s="263"/>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f>
        <v>0</v>
      </c>
      <c r="G121" s="242">
        <f>IF(AND('World Cup'!$F$81&lt;&gt;"",'World Cup'!$H$81&lt;&gt;""),'World Cup'!$H$81,"")</f>
        <v>0</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f>
        <v>0</v>
      </c>
      <c r="G122" s="242">
        <f>IF(AND('World Cup'!$R$81&lt;&gt;"",'World Cup'!$T$81&lt;&gt;""),'World Cup'!$T$81,"")</f>
        <v>0</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c r="B123" s="247" t="str">
        <f>Language!$E$218</f>
        <v>Derde plaats</v>
      </c>
      <c r="C123" s="248"/>
      <c r="D123" s="253"/>
      <c r="E123" s="250"/>
      <c r="F123" s="254"/>
      <c r="G123" s="255"/>
      <c r="H123" s="236"/>
      <c r="I123" s="247" t="str">
        <f>$B123</f>
        <v>Derde plaats</v>
      </c>
      <c r="J123" s="249"/>
      <c r="K123" s="249"/>
      <c r="L123" s="250"/>
      <c r="M123" s="279"/>
      <c r="N123" s="280"/>
      <c r="O123" s="251"/>
      <c r="P123" s="251"/>
      <c r="Q123" s="263"/>
      <c r="R123" s="250"/>
      <c r="S123" s="250"/>
      <c r="T123" s="264"/>
      <c r="V123" s="247" t="str">
        <f>$B123</f>
        <v>Derde plaats</v>
      </c>
      <c r="W123" s="249"/>
      <c r="X123" s="249"/>
      <c r="Y123" s="250"/>
      <c r="Z123" s="279"/>
      <c r="AA123" s="280"/>
      <c r="AB123" s="251"/>
      <c r="AC123" s="251"/>
      <c r="AD123" s="263"/>
      <c r="AE123" s="250"/>
      <c r="AF123" s="250"/>
      <c r="AG123" s="264"/>
      <c r="AI123" s="247" t="str">
        <f>$B123</f>
        <v>Derde plaats</v>
      </c>
      <c r="AJ123" s="249"/>
      <c r="AK123" s="249"/>
      <c r="AL123" s="250"/>
      <c r="AM123" s="279"/>
      <c r="AN123" s="280"/>
      <c r="AO123" s="251"/>
      <c r="AP123" s="251"/>
      <c r="AQ123" s="263"/>
      <c r="AR123" s="250"/>
      <c r="AS123" s="250"/>
      <c r="AT123" s="264"/>
      <c r="AV123" s="247" t="str">
        <f>$B123</f>
        <v>Derde plaats</v>
      </c>
      <c r="AW123" s="249"/>
      <c r="AX123" s="249"/>
      <c r="AY123" s="250"/>
      <c r="AZ123" s="279"/>
      <c r="BA123" s="280"/>
      <c r="BB123" s="251"/>
      <c r="BC123" s="251"/>
      <c r="BD123" s="263"/>
      <c r="BE123" s="250"/>
      <c r="BF123" s="250"/>
      <c r="BG123" s="264"/>
      <c r="BI123" s="247" t="str">
        <f>$B123</f>
        <v>Derde plaats</v>
      </c>
      <c r="BJ123" s="249"/>
      <c r="BK123" s="249"/>
      <c r="BL123" s="250"/>
      <c r="BM123" s="279"/>
      <c r="BN123" s="280"/>
      <c r="BO123" s="251"/>
      <c r="BP123" s="251"/>
      <c r="BQ123" s="263"/>
      <c r="BR123" s="250"/>
      <c r="BS123" s="250"/>
      <c r="BT123" s="264"/>
      <c r="BV123" s="247" t="str">
        <f>$B123</f>
        <v>Derde plaats</v>
      </c>
      <c r="BW123" s="249"/>
      <c r="BX123" s="249"/>
      <c r="BY123" s="250"/>
      <c r="BZ123" s="279"/>
      <c r="CA123" s="280"/>
      <c r="CB123" s="251"/>
      <c r="CC123" s="251"/>
      <c r="CD123" s="263"/>
      <c r="CE123" s="250"/>
      <c r="CF123" s="250"/>
      <c r="CG123" s="264"/>
      <c r="CI123" s="247" t="str">
        <f>$B123</f>
        <v>Derde plaats</v>
      </c>
      <c r="CJ123" s="249"/>
      <c r="CK123" s="249"/>
      <c r="CL123" s="250"/>
      <c r="CM123" s="279"/>
      <c r="CN123" s="280"/>
      <c r="CO123" s="251"/>
      <c r="CP123" s="251"/>
      <c r="CQ123" s="263"/>
      <c r="CR123" s="250"/>
      <c r="CS123" s="250"/>
      <c r="CT123" s="264"/>
      <c r="CV123" s="247" t="str">
        <f>$B123</f>
        <v>Derde plaats</v>
      </c>
      <c r="CW123" s="249"/>
      <c r="CX123" s="249"/>
      <c r="CY123" s="250"/>
      <c r="CZ123" s="279"/>
      <c r="DA123" s="280"/>
      <c r="DB123" s="251"/>
      <c r="DC123" s="251"/>
      <c r="DD123" s="263"/>
      <c r="DE123" s="250"/>
      <c r="DF123" s="250"/>
      <c r="DG123" s="264"/>
      <c r="DI123" s="247" t="str">
        <f>$B123</f>
        <v>Derde plaats</v>
      </c>
      <c r="DJ123" s="249"/>
      <c r="DK123" s="249"/>
      <c r="DL123" s="250"/>
      <c r="DM123" s="279"/>
      <c r="DN123" s="280"/>
      <c r="DO123" s="251"/>
      <c r="DP123" s="251"/>
      <c r="DQ123" s="263"/>
      <c r="DR123" s="250"/>
      <c r="DS123" s="250"/>
      <c r="DT123" s="264"/>
      <c r="DV123" s="247" t="str">
        <f>$B123</f>
        <v>Derde plaats</v>
      </c>
      <c r="DW123" s="249"/>
      <c r="DX123" s="249"/>
      <c r="DY123" s="250"/>
      <c r="DZ123" s="279"/>
      <c r="EA123" s="280"/>
      <c r="EB123" s="251"/>
      <c r="EC123" s="251"/>
      <c r="ED123" s="263"/>
      <c r="EE123" s="250"/>
      <c r="EF123" s="250"/>
      <c r="EG123" s="264"/>
      <c r="EI123" s="247" t="str">
        <f>$B123</f>
        <v>Derde plaats</v>
      </c>
      <c r="EJ123" s="249"/>
      <c r="EK123" s="249"/>
      <c r="EL123" s="250"/>
      <c r="EM123" s="279"/>
      <c r="EN123" s="280"/>
      <c r="EO123" s="251"/>
      <c r="EP123" s="251"/>
      <c r="EQ123" s="263"/>
      <c r="ER123" s="250"/>
      <c r="ES123" s="250"/>
      <c r="ET123" s="264"/>
      <c r="EV123" s="247" t="str">
        <f>$B123</f>
        <v>Derde plaats</v>
      </c>
      <c r="EW123" s="249"/>
      <c r="EX123" s="249"/>
      <c r="EY123" s="250"/>
      <c r="EZ123" s="279"/>
      <c r="FA123" s="280"/>
      <c r="FB123" s="251"/>
      <c r="FC123" s="251"/>
      <c r="FD123" s="263"/>
      <c r="FE123" s="250"/>
      <c r="FF123" s="250"/>
      <c r="FG123" s="264"/>
      <c r="FI123" s="247" t="str">
        <f>$B123</f>
        <v>Derde plaats</v>
      </c>
      <c r="FJ123" s="249"/>
      <c r="FK123" s="249"/>
      <c r="FL123" s="250"/>
      <c r="FM123" s="279"/>
      <c r="FN123" s="280"/>
      <c r="FO123" s="251"/>
      <c r="FP123" s="251"/>
      <c r="FQ123" s="263"/>
      <c r="FR123" s="250"/>
      <c r="FS123" s="250"/>
      <c r="FT123" s="264"/>
      <c r="FV123" s="247" t="str">
        <f>$B123</f>
        <v>Derde plaats</v>
      </c>
      <c r="FW123" s="249"/>
      <c r="FX123" s="249"/>
      <c r="FY123" s="250"/>
      <c r="FZ123" s="279"/>
      <c r="GA123" s="280"/>
      <c r="GB123" s="251"/>
      <c r="GC123" s="251"/>
      <c r="GD123" s="263"/>
      <c r="GE123" s="250"/>
      <c r="GF123" s="250"/>
      <c r="GG123" s="264"/>
      <c r="GI123" s="247" t="str">
        <f>$B123</f>
        <v>Derde plaats</v>
      </c>
      <c r="GJ123" s="249"/>
      <c r="GK123" s="249"/>
      <c r="GL123" s="250"/>
      <c r="GM123" s="279"/>
      <c r="GN123" s="280"/>
      <c r="GO123" s="251"/>
      <c r="GP123" s="251"/>
      <c r="GQ123" s="263"/>
      <c r="GR123" s="250"/>
      <c r="GS123" s="250"/>
      <c r="GT123" s="264"/>
      <c r="GV123" s="247" t="str">
        <f>$B123</f>
        <v>Derde plaats</v>
      </c>
      <c r="GW123" s="249"/>
      <c r="GX123" s="249"/>
      <c r="GY123" s="250"/>
      <c r="GZ123" s="279"/>
      <c r="HA123" s="280"/>
      <c r="HB123" s="251"/>
      <c r="HC123" s="251"/>
      <c r="HD123" s="263"/>
      <c r="HE123" s="250"/>
      <c r="HF123" s="250"/>
      <c r="HG123" s="264"/>
      <c r="HI123" s="247" t="str">
        <f>$B123</f>
        <v>Derde plaats</v>
      </c>
      <c r="HJ123" s="249"/>
      <c r="HK123" s="249"/>
      <c r="HL123" s="250"/>
      <c r="HM123" s="279"/>
      <c r="HN123" s="280"/>
      <c r="HO123" s="251"/>
      <c r="HP123" s="251"/>
      <c r="HQ123" s="263"/>
      <c r="HR123" s="250"/>
      <c r="HS123" s="250"/>
      <c r="HT123" s="264"/>
      <c r="HV123" s="247" t="str">
        <f>$B123</f>
        <v>Derde plaats</v>
      </c>
      <c r="HW123" s="249"/>
      <c r="HX123" s="249"/>
      <c r="HY123" s="250"/>
      <c r="HZ123" s="279"/>
      <c r="IA123" s="280"/>
      <c r="IB123" s="251"/>
      <c r="IC123" s="251"/>
      <c r="ID123" s="263"/>
      <c r="IE123" s="250"/>
      <c r="IF123" s="250"/>
      <c r="IG123" s="264"/>
      <c r="II123" s="247" t="str">
        <f>$B123</f>
        <v>Derde plaats</v>
      </c>
      <c r="IJ123" s="249"/>
      <c r="IK123" s="249"/>
      <c r="IL123" s="250"/>
      <c r="IM123" s="279"/>
      <c r="IN123" s="280"/>
      <c r="IO123" s="251"/>
      <c r="IP123" s="251"/>
      <c r="IQ123" s="263"/>
      <c r="IR123" s="250"/>
      <c r="IS123" s="250"/>
      <c r="IT123" s="264"/>
      <c r="IV123" s="247" t="str">
        <f>$B123</f>
        <v>Derde plaats</v>
      </c>
      <c r="IW123" s="249"/>
      <c r="IX123" s="249"/>
      <c r="IY123" s="250"/>
      <c r="IZ123" s="279"/>
      <c r="JA123" s="280"/>
      <c r="JB123" s="251"/>
      <c r="JC123" s="251"/>
      <c r="JD123" s="263"/>
      <c r="JE123" s="250"/>
      <c r="JF123" s="250"/>
      <c r="JG123" s="264"/>
      <c r="JI123" s="247" t="str">
        <f>$B123</f>
        <v>Derde plaats</v>
      </c>
      <c r="JJ123" s="249"/>
      <c r="JK123" s="249"/>
      <c r="JL123" s="250"/>
      <c r="JM123" s="279"/>
      <c r="JN123" s="280"/>
      <c r="JO123" s="251"/>
      <c r="JP123" s="251"/>
      <c r="JQ123" s="263"/>
      <c r="JR123" s="250"/>
      <c r="JS123" s="250"/>
      <c r="JT123" s="264"/>
      <c r="JV123" s="247" t="str">
        <f>$B123</f>
        <v>Derde plaats</v>
      </c>
      <c r="JW123" s="249"/>
      <c r="JX123" s="249"/>
      <c r="JY123" s="250"/>
      <c r="JZ123" s="279"/>
      <c r="KA123" s="280"/>
      <c r="KB123" s="251"/>
      <c r="KC123" s="251"/>
      <c r="KD123" s="263"/>
      <c r="KE123" s="250"/>
      <c r="KF123" s="250"/>
      <c r="KG123" s="264"/>
      <c r="KI123" s="247" t="str">
        <f>$B123</f>
        <v>Derde plaats</v>
      </c>
      <c r="KJ123" s="249"/>
      <c r="KK123" s="249"/>
      <c r="KL123" s="250"/>
      <c r="KM123" s="279"/>
      <c r="KN123" s="280"/>
      <c r="KO123" s="251"/>
      <c r="KP123" s="251"/>
      <c r="KQ123" s="263"/>
      <c r="KR123" s="250"/>
      <c r="KS123" s="250"/>
      <c r="KT123" s="264"/>
      <c r="KV123" s="247" t="str">
        <f>$B123</f>
        <v>Derde plaats</v>
      </c>
      <c r="KW123" s="249"/>
      <c r="KX123" s="249"/>
      <c r="KY123" s="250"/>
      <c r="KZ123" s="279"/>
      <c r="LA123" s="280"/>
      <c r="LB123" s="251"/>
      <c r="LC123" s="251"/>
      <c r="LD123" s="263"/>
      <c r="LE123" s="250"/>
      <c r="LF123" s="250"/>
      <c r="LG123" s="264"/>
      <c r="LI123" s="247" t="str">
        <f>$B123</f>
        <v>Derde plaats</v>
      </c>
      <c r="LJ123" s="249"/>
      <c r="LK123" s="249"/>
      <c r="LL123" s="250"/>
      <c r="LM123" s="279"/>
      <c r="LN123" s="280"/>
      <c r="LO123" s="251"/>
      <c r="LP123" s="251"/>
      <c r="LQ123" s="263"/>
      <c r="LR123" s="250"/>
      <c r="LS123" s="250"/>
      <c r="LT123" s="264"/>
      <c r="LV123" s="247" t="str">
        <f>$B123</f>
        <v>Derde plaats</v>
      </c>
      <c r="LW123" s="249"/>
      <c r="LX123" s="249"/>
      <c r="LY123" s="250"/>
      <c r="LZ123" s="279"/>
      <c r="MA123" s="280"/>
      <c r="MB123" s="251"/>
      <c r="MC123" s="251"/>
      <c r="MD123" s="263"/>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c r="B125" s="247" t="str">
        <f>Language!$E$219</f>
        <v>Finale</v>
      </c>
      <c r="C125" s="248"/>
      <c r="D125" s="253"/>
      <c r="E125" s="250"/>
      <c r="F125" s="254"/>
      <c r="G125" s="255"/>
      <c r="I125" s="247" t="str">
        <f>$B125</f>
        <v>Finale</v>
      </c>
      <c r="J125" s="249"/>
      <c r="K125" s="249"/>
      <c r="L125" s="250"/>
      <c r="M125" s="279"/>
      <c r="N125" s="280"/>
      <c r="O125" s="251"/>
      <c r="P125" s="251"/>
      <c r="Q125" s="263"/>
      <c r="R125" s="250"/>
      <c r="S125" s="250"/>
      <c r="T125" s="264"/>
      <c r="V125" s="247" t="str">
        <f>$B125</f>
        <v>Finale</v>
      </c>
      <c r="W125" s="249"/>
      <c r="X125" s="249"/>
      <c r="Y125" s="250"/>
      <c r="Z125" s="279"/>
      <c r="AA125" s="280"/>
      <c r="AB125" s="251"/>
      <c r="AC125" s="251"/>
      <c r="AD125" s="263"/>
      <c r="AE125" s="250"/>
      <c r="AF125" s="250"/>
      <c r="AG125" s="264"/>
      <c r="AI125" s="247" t="str">
        <f>$B125</f>
        <v>Finale</v>
      </c>
      <c r="AJ125" s="249"/>
      <c r="AK125" s="249"/>
      <c r="AL125" s="250"/>
      <c r="AM125" s="279"/>
      <c r="AN125" s="280"/>
      <c r="AO125" s="251"/>
      <c r="AP125" s="251"/>
      <c r="AQ125" s="263"/>
      <c r="AR125" s="250"/>
      <c r="AS125" s="250"/>
      <c r="AT125" s="264"/>
      <c r="AV125" s="247" t="str">
        <f>$B125</f>
        <v>Finale</v>
      </c>
      <c r="AW125" s="249"/>
      <c r="AX125" s="249"/>
      <c r="AY125" s="250"/>
      <c r="AZ125" s="279"/>
      <c r="BA125" s="280"/>
      <c r="BB125" s="251"/>
      <c r="BC125" s="251"/>
      <c r="BD125" s="263"/>
      <c r="BE125" s="250"/>
      <c r="BF125" s="250"/>
      <c r="BG125" s="264"/>
      <c r="BI125" s="247" t="str">
        <f>$B125</f>
        <v>Finale</v>
      </c>
      <c r="BJ125" s="249"/>
      <c r="BK125" s="249"/>
      <c r="BL125" s="250"/>
      <c r="BM125" s="279"/>
      <c r="BN125" s="280"/>
      <c r="BO125" s="251"/>
      <c r="BP125" s="251"/>
      <c r="BQ125" s="263"/>
      <c r="BR125" s="250"/>
      <c r="BS125" s="250"/>
      <c r="BT125" s="264"/>
      <c r="BV125" s="247" t="str">
        <f>$B125</f>
        <v>Finale</v>
      </c>
      <c r="BW125" s="249"/>
      <c r="BX125" s="249"/>
      <c r="BY125" s="250"/>
      <c r="BZ125" s="279"/>
      <c r="CA125" s="280"/>
      <c r="CB125" s="251"/>
      <c r="CC125" s="251"/>
      <c r="CD125" s="263"/>
      <c r="CE125" s="250"/>
      <c r="CF125" s="250"/>
      <c r="CG125" s="264"/>
      <c r="CI125" s="247" t="str">
        <f>$B125</f>
        <v>Finale</v>
      </c>
      <c r="CJ125" s="249"/>
      <c r="CK125" s="249"/>
      <c r="CL125" s="250"/>
      <c r="CM125" s="279"/>
      <c r="CN125" s="280"/>
      <c r="CO125" s="251"/>
      <c r="CP125" s="251"/>
      <c r="CQ125" s="263"/>
      <c r="CR125" s="250"/>
      <c r="CS125" s="250"/>
      <c r="CT125" s="264"/>
      <c r="CV125" s="247" t="str">
        <f>$B125</f>
        <v>Finale</v>
      </c>
      <c r="CW125" s="249"/>
      <c r="CX125" s="249"/>
      <c r="CY125" s="250"/>
      <c r="CZ125" s="279"/>
      <c r="DA125" s="280"/>
      <c r="DB125" s="251"/>
      <c r="DC125" s="251"/>
      <c r="DD125" s="263"/>
      <c r="DE125" s="250"/>
      <c r="DF125" s="250"/>
      <c r="DG125" s="264"/>
      <c r="DI125" s="247" t="str">
        <f>$B125</f>
        <v>Finale</v>
      </c>
      <c r="DJ125" s="249"/>
      <c r="DK125" s="249"/>
      <c r="DL125" s="250"/>
      <c r="DM125" s="279"/>
      <c r="DN125" s="280"/>
      <c r="DO125" s="251"/>
      <c r="DP125" s="251"/>
      <c r="DQ125" s="263"/>
      <c r="DR125" s="250"/>
      <c r="DS125" s="250"/>
      <c r="DT125" s="264"/>
      <c r="DV125" s="247" t="str">
        <f>$B125</f>
        <v>Finale</v>
      </c>
      <c r="DW125" s="249"/>
      <c r="DX125" s="249"/>
      <c r="DY125" s="250"/>
      <c r="DZ125" s="279"/>
      <c r="EA125" s="280"/>
      <c r="EB125" s="251"/>
      <c r="EC125" s="251"/>
      <c r="ED125" s="263"/>
      <c r="EE125" s="250"/>
      <c r="EF125" s="250"/>
      <c r="EG125" s="264"/>
      <c r="EI125" s="247" t="str">
        <f>$B125</f>
        <v>Finale</v>
      </c>
      <c r="EJ125" s="249"/>
      <c r="EK125" s="249"/>
      <c r="EL125" s="250"/>
      <c r="EM125" s="279"/>
      <c r="EN125" s="280"/>
      <c r="EO125" s="251"/>
      <c r="EP125" s="251"/>
      <c r="EQ125" s="263"/>
      <c r="ER125" s="250"/>
      <c r="ES125" s="250"/>
      <c r="ET125" s="264"/>
      <c r="EV125" s="247" t="str">
        <f>$B125</f>
        <v>Finale</v>
      </c>
      <c r="EW125" s="249"/>
      <c r="EX125" s="249"/>
      <c r="EY125" s="250"/>
      <c r="EZ125" s="279"/>
      <c r="FA125" s="280"/>
      <c r="FB125" s="251"/>
      <c r="FC125" s="251"/>
      <c r="FD125" s="263"/>
      <c r="FE125" s="250"/>
      <c r="FF125" s="250"/>
      <c r="FG125" s="264"/>
      <c r="FI125" s="247" t="str">
        <f>$B125</f>
        <v>Finale</v>
      </c>
      <c r="FJ125" s="249"/>
      <c r="FK125" s="249"/>
      <c r="FL125" s="250"/>
      <c r="FM125" s="279"/>
      <c r="FN125" s="280"/>
      <c r="FO125" s="251"/>
      <c r="FP125" s="251"/>
      <c r="FQ125" s="263"/>
      <c r="FR125" s="250"/>
      <c r="FS125" s="250"/>
      <c r="FT125" s="264"/>
      <c r="FV125" s="247" t="str">
        <f>$B125</f>
        <v>Finale</v>
      </c>
      <c r="FW125" s="249"/>
      <c r="FX125" s="249"/>
      <c r="FY125" s="250"/>
      <c r="FZ125" s="279"/>
      <c r="GA125" s="280"/>
      <c r="GB125" s="251"/>
      <c r="GC125" s="251"/>
      <c r="GD125" s="263"/>
      <c r="GE125" s="250"/>
      <c r="GF125" s="250"/>
      <c r="GG125" s="264"/>
      <c r="GI125" s="247" t="str">
        <f>$B125</f>
        <v>Finale</v>
      </c>
      <c r="GJ125" s="249"/>
      <c r="GK125" s="249"/>
      <c r="GL125" s="250"/>
      <c r="GM125" s="279"/>
      <c r="GN125" s="280"/>
      <c r="GO125" s="251"/>
      <c r="GP125" s="251"/>
      <c r="GQ125" s="263"/>
      <c r="GR125" s="250"/>
      <c r="GS125" s="250"/>
      <c r="GT125" s="264"/>
      <c r="GV125" s="247" t="str">
        <f>$B125</f>
        <v>Finale</v>
      </c>
      <c r="GW125" s="249"/>
      <c r="GX125" s="249"/>
      <c r="GY125" s="250"/>
      <c r="GZ125" s="279"/>
      <c r="HA125" s="280"/>
      <c r="HB125" s="251"/>
      <c r="HC125" s="251"/>
      <c r="HD125" s="263"/>
      <c r="HE125" s="250"/>
      <c r="HF125" s="250"/>
      <c r="HG125" s="264"/>
      <c r="HI125" s="247" t="str">
        <f>$B125</f>
        <v>Finale</v>
      </c>
      <c r="HJ125" s="249"/>
      <c r="HK125" s="249"/>
      <c r="HL125" s="250"/>
      <c r="HM125" s="279"/>
      <c r="HN125" s="280"/>
      <c r="HO125" s="251"/>
      <c r="HP125" s="251"/>
      <c r="HQ125" s="263"/>
      <c r="HR125" s="250"/>
      <c r="HS125" s="250"/>
      <c r="HT125" s="264"/>
      <c r="HV125" s="247" t="str">
        <f>$B125</f>
        <v>Finale</v>
      </c>
      <c r="HW125" s="249"/>
      <c r="HX125" s="249"/>
      <c r="HY125" s="250"/>
      <c r="HZ125" s="279"/>
      <c r="IA125" s="280"/>
      <c r="IB125" s="251"/>
      <c r="IC125" s="251"/>
      <c r="ID125" s="263"/>
      <c r="IE125" s="250"/>
      <c r="IF125" s="250"/>
      <c r="IG125" s="264"/>
      <c r="II125" s="247" t="str">
        <f>$B125</f>
        <v>Finale</v>
      </c>
      <c r="IJ125" s="249"/>
      <c r="IK125" s="249"/>
      <c r="IL125" s="250"/>
      <c r="IM125" s="279"/>
      <c r="IN125" s="280"/>
      <c r="IO125" s="251"/>
      <c r="IP125" s="251"/>
      <c r="IQ125" s="263"/>
      <c r="IR125" s="250"/>
      <c r="IS125" s="250"/>
      <c r="IT125" s="264"/>
      <c r="IV125" s="247" t="str">
        <f>$B125</f>
        <v>Finale</v>
      </c>
      <c r="IW125" s="249"/>
      <c r="IX125" s="249"/>
      <c r="IY125" s="250"/>
      <c r="IZ125" s="279"/>
      <c r="JA125" s="280"/>
      <c r="JB125" s="251"/>
      <c r="JC125" s="251"/>
      <c r="JD125" s="263"/>
      <c r="JE125" s="250"/>
      <c r="JF125" s="250"/>
      <c r="JG125" s="264"/>
      <c r="JI125" s="247" t="str">
        <f>$B125</f>
        <v>Finale</v>
      </c>
      <c r="JJ125" s="249"/>
      <c r="JK125" s="249"/>
      <c r="JL125" s="250"/>
      <c r="JM125" s="279"/>
      <c r="JN125" s="280"/>
      <c r="JO125" s="251"/>
      <c r="JP125" s="251"/>
      <c r="JQ125" s="263"/>
      <c r="JR125" s="250"/>
      <c r="JS125" s="250"/>
      <c r="JT125" s="264"/>
      <c r="JV125" s="247" t="str">
        <f>$B125</f>
        <v>Finale</v>
      </c>
      <c r="JW125" s="249"/>
      <c r="JX125" s="249"/>
      <c r="JY125" s="250"/>
      <c r="JZ125" s="279"/>
      <c r="KA125" s="280"/>
      <c r="KB125" s="251"/>
      <c r="KC125" s="251"/>
      <c r="KD125" s="263"/>
      <c r="KE125" s="250"/>
      <c r="KF125" s="250"/>
      <c r="KG125" s="264"/>
      <c r="KI125" s="247" t="str">
        <f>$B125</f>
        <v>Finale</v>
      </c>
      <c r="KJ125" s="249"/>
      <c r="KK125" s="249"/>
      <c r="KL125" s="250"/>
      <c r="KM125" s="279"/>
      <c r="KN125" s="280"/>
      <c r="KO125" s="251"/>
      <c r="KP125" s="251"/>
      <c r="KQ125" s="263"/>
      <c r="KR125" s="250"/>
      <c r="KS125" s="250"/>
      <c r="KT125" s="264"/>
      <c r="KV125" s="247" t="str">
        <f>$B125</f>
        <v>Finale</v>
      </c>
      <c r="KW125" s="249"/>
      <c r="KX125" s="249"/>
      <c r="KY125" s="250"/>
      <c r="KZ125" s="279"/>
      <c r="LA125" s="280"/>
      <c r="LB125" s="251"/>
      <c r="LC125" s="251"/>
      <c r="LD125" s="263"/>
      <c r="LE125" s="250"/>
      <c r="LF125" s="250"/>
      <c r="LG125" s="264"/>
      <c r="LI125" s="247" t="str">
        <f>$B125</f>
        <v>Finale</v>
      </c>
      <c r="LJ125" s="249"/>
      <c r="LK125" s="249"/>
      <c r="LL125" s="250"/>
      <c r="LM125" s="279"/>
      <c r="LN125" s="280"/>
      <c r="LO125" s="251"/>
      <c r="LP125" s="251"/>
      <c r="LQ125" s="263"/>
      <c r="LR125" s="250"/>
      <c r="LS125" s="250"/>
      <c r="LT125" s="264"/>
      <c r="LV125" s="247" t="str">
        <f>$B125</f>
        <v>Finale</v>
      </c>
      <c r="LW125" s="249"/>
      <c r="LX125" s="249"/>
      <c r="LY125" s="250"/>
      <c r="LZ125" s="279"/>
      <c r="MA125" s="280"/>
      <c r="MB125" s="251"/>
      <c r="MC125" s="251"/>
      <c r="MD125" s="263"/>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c r="L127" s="356"/>
      <c r="M127" s="357"/>
      <c r="N127" s="357"/>
      <c r="O127" s="358" t="str">
        <f>Language!$E$219</f>
        <v>Finale</v>
      </c>
      <c r="P127" s="358" t="str">
        <f>Language!$E$210</f>
        <v>W/G/V</v>
      </c>
      <c r="Q127" s="358" t="str">
        <f>Language!$E$211</f>
        <v>DS</v>
      </c>
      <c r="R127" s="358" t="str">
        <f>Language!$E$212</f>
        <v>exact</v>
      </c>
      <c r="S127" s="358" t="str">
        <f>Language!$E$224</f>
        <v>grote aant.</v>
      </c>
      <c r="T127" s="359" t="str">
        <f>Language!$E$213</f>
        <v>teams</v>
      </c>
      <c r="Y127" s="356"/>
      <c r="Z127" s="357"/>
      <c r="AA127" s="357"/>
      <c r="AB127" s="358" t="str">
        <f>Language!$E$219</f>
        <v>Finale</v>
      </c>
      <c r="AC127" s="358" t="str">
        <f>Language!$E$210</f>
        <v>W/G/V</v>
      </c>
      <c r="AD127" s="358" t="str">
        <f>Language!$E$211</f>
        <v>DS</v>
      </c>
      <c r="AE127" s="358" t="str">
        <f>Language!$E$212</f>
        <v>exact</v>
      </c>
      <c r="AF127" s="358" t="str">
        <f>Language!$E$224</f>
        <v>grote aant.</v>
      </c>
      <c r="AG127" s="359" t="str">
        <f>Language!$E$213</f>
        <v>teams</v>
      </c>
      <c r="AL127" s="356"/>
      <c r="AM127" s="357"/>
      <c r="AN127" s="357"/>
      <c r="AO127" s="358" t="str">
        <f>Language!$E$219</f>
        <v>Finale</v>
      </c>
      <c r="AP127" s="358" t="str">
        <f>Language!$E$210</f>
        <v>W/G/V</v>
      </c>
      <c r="AQ127" s="358" t="str">
        <f>Language!$E$211</f>
        <v>DS</v>
      </c>
      <c r="AR127" s="358" t="str">
        <f>Language!$E$212</f>
        <v>exact</v>
      </c>
      <c r="AS127" s="358" t="str">
        <f>Language!$E$224</f>
        <v>grote aant.</v>
      </c>
      <c r="AT127" s="359" t="str">
        <f>Language!$E$213</f>
        <v>teams</v>
      </c>
      <c r="AY127" s="356"/>
      <c r="AZ127" s="357"/>
      <c r="BA127" s="357"/>
      <c r="BB127" s="358" t="str">
        <f>Language!$E$219</f>
        <v>Finale</v>
      </c>
      <c r="BC127" s="358" t="str">
        <f>Language!$E$210</f>
        <v>W/G/V</v>
      </c>
      <c r="BD127" s="358" t="str">
        <f>Language!$E$211</f>
        <v>DS</v>
      </c>
      <c r="BE127" s="358" t="str">
        <f>Language!$E$212</f>
        <v>exact</v>
      </c>
      <c r="BF127" s="358" t="str">
        <f>Language!$E$224</f>
        <v>grote aant.</v>
      </c>
      <c r="BG127" s="359" t="str">
        <f>Language!$E$213</f>
        <v>teams</v>
      </c>
      <c r="BL127" s="356"/>
      <c r="BM127" s="357"/>
      <c r="BN127" s="357"/>
      <c r="BO127" s="358" t="str">
        <f>Language!$E$219</f>
        <v>Finale</v>
      </c>
      <c r="BP127" s="358" t="str">
        <f>Language!$E$210</f>
        <v>W/G/V</v>
      </c>
      <c r="BQ127" s="358" t="str">
        <f>Language!$E$211</f>
        <v>DS</v>
      </c>
      <c r="BR127" s="358" t="str">
        <f>Language!$E$212</f>
        <v>exact</v>
      </c>
      <c r="BS127" s="358" t="str">
        <f>Language!$E$224</f>
        <v>grote aant.</v>
      </c>
      <c r="BT127" s="359" t="str">
        <f>Language!$E$213</f>
        <v>teams</v>
      </c>
      <c r="BY127" s="356"/>
      <c r="BZ127" s="357"/>
      <c r="CA127" s="357"/>
      <c r="CB127" s="358" t="str">
        <f>Language!$E$219</f>
        <v>Finale</v>
      </c>
      <c r="CC127" s="358" t="str">
        <f>Language!$E$210</f>
        <v>W/G/V</v>
      </c>
      <c r="CD127" s="358" t="str">
        <f>Language!$E$211</f>
        <v>DS</v>
      </c>
      <c r="CE127" s="358" t="str">
        <f>Language!$E$212</f>
        <v>exact</v>
      </c>
      <c r="CF127" s="358" t="str">
        <f>Language!$E$224</f>
        <v>grote aant.</v>
      </c>
      <c r="CG127" s="359" t="str">
        <f>Language!$E$213</f>
        <v>teams</v>
      </c>
      <c r="CL127" s="356"/>
      <c r="CM127" s="357"/>
      <c r="CN127" s="357"/>
      <c r="CO127" s="358" t="str">
        <f>Language!$E$219</f>
        <v>Finale</v>
      </c>
      <c r="CP127" s="358" t="str">
        <f>Language!$E$210</f>
        <v>W/G/V</v>
      </c>
      <c r="CQ127" s="358" t="str">
        <f>Language!$E$211</f>
        <v>DS</v>
      </c>
      <c r="CR127" s="358" t="str">
        <f>Language!$E$212</f>
        <v>exact</v>
      </c>
      <c r="CS127" s="358" t="str">
        <f>Language!$E$224</f>
        <v>grote aant.</v>
      </c>
      <c r="CT127" s="359" t="str">
        <f>Language!$E$213</f>
        <v>teams</v>
      </c>
      <c r="CY127" s="356"/>
      <c r="CZ127" s="357"/>
      <c r="DA127" s="357"/>
      <c r="DB127" s="358" t="str">
        <f>Language!$E$219</f>
        <v>Finale</v>
      </c>
      <c r="DC127" s="358" t="str">
        <f>Language!$E$210</f>
        <v>W/G/V</v>
      </c>
      <c r="DD127" s="358" t="str">
        <f>Language!$E$211</f>
        <v>DS</v>
      </c>
      <c r="DE127" s="358" t="str">
        <f>Language!$E$212</f>
        <v>exact</v>
      </c>
      <c r="DF127" s="358" t="str">
        <f>Language!$E$224</f>
        <v>grote aant.</v>
      </c>
      <c r="DG127" s="359" t="str">
        <f>Language!$E$213</f>
        <v>teams</v>
      </c>
      <c r="DL127" s="356"/>
      <c r="DM127" s="357"/>
      <c r="DN127" s="357"/>
      <c r="DO127" s="358" t="str">
        <f>Language!$E$219</f>
        <v>Finale</v>
      </c>
      <c r="DP127" s="358" t="str">
        <f>Language!$E$210</f>
        <v>W/G/V</v>
      </c>
      <c r="DQ127" s="358" t="str">
        <f>Language!$E$211</f>
        <v>DS</v>
      </c>
      <c r="DR127" s="358" t="str">
        <f>Language!$E$212</f>
        <v>exact</v>
      </c>
      <c r="DS127" s="358" t="str">
        <f>Language!$E$224</f>
        <v>grote aant.</v>
      </c>
      <c r="DT127" s="359" t="str">
        <f>Language!$E$213</f>
        <v>teams</v>
      </c>
      <c r="DY127" s="356"/>
      <c r="DZ127" s="357"/>
      <c r="EA127" s="357"/>
      <c r="EB127" s="358" t="str">
        <f>Language!$E$219</f>
        <v>Finale</v>
      </c>
      <c r="EC127" s="358" t="str">
        <f>Language!$E$210</f>
        <v>W/G/V</v>
      </c>
      <c r="ED127" s="358" t="str">
        <f>Language!$E$211</f>
        <v>DS</v>
      </c>
      <c r="EE127" s="358" t="str">
        <f>Language!$E$212</f>
        <v>exact</v>
      </c>
      <c r="EF127" s="358" t="str">
        <f>Language!$E$224</f>
        <v>grote aant.</v>
      </c>
      <c r="EG127" s="359" t="str">
        <f>Language!$E$213</f>
        <v>teams</v>
      </c>
      <c r="EL127" s="356"/>
      <c r="EM127" s="357"/>
      <c r="EN127" s="357"/>
      <c r="EO127" s="358" t="str">
        <f>Language!$E$219</f>
        <v>Finale</v>
      </c>
      <c r="EP127" s="358" t="str">
        <f>Language!$E$210</f>
        <v>W/G/V</v>
      </c>
      <c r="EQ127" s="358" t="str">
        <f>Language!$E$211</f>
        <v>DS</v>
      </c>
      <c r="ER127" s="358" t="str">
        <f>Language!$E$212</f>
        <v>exact</v>
      </c>
      <c r="ES127" s="358" t="str">
        <f>Language!$E$224</f>
        <v>grote aant.</v>
      </c>
      <c r="ET127" s="359" t="str">
        <f>Language!$E$213</f>
        <v>teams</v>
      </c>
      <c r="EY127" s="356"/>
      <c r="EZ127" s="357"/>
      <c r="FA127" s="357"/>
      <c r="FB127" s="358" t="str">
        <f>Language!$E$219</f>
        <v>Finale</v>
      </c>
      <c r="FC127" s="358" t="str">
        <f>Language!$E$210</f>
        <v>W/G/V</v>
      </c>
      <c r="FD127" s="358" t="str">
        <f>Language!$E$211</f>
        <v>DS</v>
      </c>
      <c r="FE127" s="358" t="str">
        <f>Language!$E$212</f>
        <v>exact</v>
      </c>
      <c r="FF127" s="358" t="str">
        <f>Language!$E$224</f>
        <v>grote aant.</v>
      </c>
      <c r="FG127" s="359" t="str">
        <f>Language!$E$213</f>
        <v>teams</v>
      </c>
      <c r="FL127" s="356"/>
      <c r="FM127" s="357"/>
      <c r="FN127" s="357"/>
      <c r="FO127" s="358" t="str">
        <f>Language!$E$219</f>
        <v>Finale</v>
      </c>
      <c r="FP127" s="358" t="str">
        <f>Language!$E$210</f>
        <v>W/G/V</v>
      </c>
      <c r="FQ127" s="358" t="str">
        <f>Language!$E$211</f>
        <v>DS</v>
      </c>
      <c r="FR127" s="358" t="str">
        <f>Language!$E$212</f>
        <v>exact</v>
      </c>
      <c r="FS127" s="358" t="str">
        <f>Language!$E$224</f>
        <v>grote aant.</v>
      </c>
      <c r="FT127" s="359" t="str">
        <f>Language!$E$213</f>
        <v>teams</v>
      </c>
      <c r="FY127" s="356"/>
      <c r="FZ127" s="357"/>
      <c r="GA127" s="357"/>
      <c r="GB127" s="358" t="str">
        <f>Language!$E$219</f>
        <v>Finale</v>
      </c>
      <c r="GC127" s="358" t="str">
        <f>Language!$E$210</f>
        <v>W/G/V</v>
      </c>
      <c r="GD127" s="358" t="str">
        <f>Language!$E$211</f>
        <v>DS</v>
      </c>
      <c r="GE127" s="358" t="str">
        <f>Language!$E$212</f>
        <v>exact</v>
      </c>
      <c r="GF127" s="358" t="str">
        <f>Language!$E$224</f>
        <v>grote aant.</v>
      </c>
      <c r="GG127" s="359" t="str">
        <f>Language!$E$213</f>
        <v>teams</v>
      </c>
      <c r="GL127" s="356"/>
      <c r="GM127" s="357"/>
      <c r="GN127" s="357"/>
      <c r="GO127" s="358" t="str">
        <f>Language!$E$219</f>
        <v>Finale</v>
      </c>
      <c r="GP127" s="358" t="str">
        <f>Language!$E$210</f>
        <v>W/G/V</v>
      </c>
      <c r="GQ127" s="358" t="str">
        <f>Language!$E$211</f>
        <v>DS</v>
      </c>
      <c r="GR127" s="358" t="str">
        <f>Language!$E$212</f>
        <v>exact</v>
      </c>
      <c r="GS127" s="358" t="str">
        <f>Language!$E$224</f>
        <v>grote aant.</v>
      </c>
      <c r="GT127" s="359" t="str">
        <f>Language!$E$213</f>
        <v>teams</v>
      </c>
      <c r="GY127" s="356"/>
      <c r="GZ127" s="357"/>
      <c r="HA127" s="357"/>
      <c r="HB127" s="358" t="str">
        <f>Language!$E$219</f>
        <v>Finale</v>
      </c>
      <c r="HC127" s="358" t="str">
        <f>Language!$E$210</f>
        <v>W/G/V</v>
      </c>
      <c r="HD127" s="358" t="str">
        <f>Language!$E$211</f>
        <v>DS</v>
      </c>
      <c r="HE127" s="358" t="str">
        <f>Language!$E$212</f>
        <v>exact</v>
      </c>
      <c r="HF127" s="358" t="str">
        <f>Language!$E$224</f>
        <v>grote aant.</v>
      </c>
      <c r="HG127" s="359" t="str">
        <f>Language!$E$213</f>
        <v>teams</v>
      </c>
      <c r="HL127" s="356"/>
      <c r="HM127" s="357"/>
      <c r="HN127" s="357"/>
      <c r="HO127" s="358" t="str">
        <f>Language!$E$219</f>
        <v>Finale</v>
      </c>
      <c r="HP127" s="358" t="str">
        <f>Language!$E$210</f>
        <v>W/G/V</v>
      </c>
      <c r="HQ127" s="358" t="str">
        <f>Language!$E$211</f>
        <v>DS</v>
      </c>
      <c r="HR127" s="358" t="str">
        <f>Language!$E$212</f>
        <v>exact</v>
      </c>
      <c r="HS127" s="358" t="str">
        <f>Language!$E$224</f>
        <v>grote aant.</v>
      </c>
      <c r="HT127" s="359" t="str">
        <f>Language!$E$213</f>
        <v>teams</v>
      </c>
      <c r="HY127" s="356"/>
      <c r="HZ127" s="357"/>
      <c r="IA127" s="357"/>
      <c r="IB127" s="358" t="str">
        <f>Language!$E$219</f>
        <v>Finale</v>
      </c>
      <c r="IC127" s="358" t="str">
        <f>Language!$E$210</f>
        <v>W/G/V</v>
      </c>
      <c r="ID127" s="358" t="str">
        <f>Language!$E$211</f>
        <v>DS</v>
      </c>
      <c r="IE127" s="358" t="str">
        <f>Language!$E$212</f>
        <v>exact</v>
      </c>
      <c r="IF127" s="358" t="str">
        <f>Language!$E$224</f>
        <v>grote aant.</v>
      </c>
      <c r="IG127" s="359" t="str">
        <f>Language!$E$213</f>
        <v>teams</v>
      </c>
      <c r="IL127" s="356"/>
      <c r="IM127" s="357"/>
      <c r="IN127" s="357"/>
      <c r="IO127" s="358" t="str">
        <f>Language!$E$219</f>
        <v>Finale</v>
      </c>
      <c r="IP127" s="358" t="str">
        <f>Language!$E$210</f>
        <v>W/G/V</v>
      </c>
      <c r="IQ127" s="358" t="str">
        <f>Language!$E$211</f>
        <v>DS</v>
      </c>
      <c r="IR127" s="358" t="str">
        <f>Language!$E$212</f>
        <v>exact</v>
      </c>
      <c r="IS127" s="358" t="str">
        <f>Language!$E$224</f>
        <v>grote aant.</v>
      </c>
      <c r="IT127" s="359" t="str">
        <f>Language!$E$213</f>
        <v>teams</v>
      </c>
      <c r="IY127" s="356"/>
      <c r="IZ127" s="357"/>
      <c r="JA127" s="357"/>
      <c r="JB127" s="358" t="str">
        <f>Language!$E$219</f>
        <v>Finale</v>
      </c>
      <c r="JC127" s="358" t="str">
        <f>Language!$E$210</f>
        <v>W/G/V</v>
      </c>
      <c r="JD127" s="358" t="str">
        <f>Language!$E$211</f>
        <v>DS</v>
      </c>
      <c r="JE127" s="358" t="str">
        <f>Language!$E$212</f>
        <v>exact</v>
      </c>
      <c r="JF127" s="358" t="str">
        <f>Language!$E$224</f>
        <v>grote aant.</v>
      </c>
      <c r="JG127" s="359" t="str">
        <f>Language!$E$213</f>
        <v>teams</v>
      </c>
      <c r="JL127" s="356"/>
      <c r="JM127" s="357"/>
      <c r="JN127" s="357"/>
      <c r="JO127" s="358" t="str">
        <f>Language!$E$219</f>
        <v>Finale</v>
      </c>
      <c r="JP127" s="358" t="str">
        <f>Language!$E$210</f>
        <v>W/G/V</v>
      </c>
      <c r="JQ127" s="358" t="str">
        <f>Language!$E$211</f>
        <v>DS</v>
      </c>
      <c r="JR127" s="358" t="str">
        <f>Language!$E$212</f>
        <v>exact</v>
      </c>
      <c r="JS127" s="358" t="str">
        <f>Language!$E$224</f>
        <v>grote aant.</v>
      </c>
      <c r="JT127" s="359" t="str">
        <f>Language!$E$213</f>
        <v>teams</v>
      </c>
      <c r="JY127" s="356"/>
      <c r="JZ127" s="357"/>
      <c r="KA127" s="357"/>
      <c r="KB127" s="358" t="str">
        <f>Language!$E$219</f>
        <v>Finale</v>
      </c>
      <c r="KC127" s="358" t="str">
        <f>Language!$E$210</f>
        <v>W/G/V</v>
      </c>
      <c r="KD127" s="358" t="str">
        <f>Language!$E$211</f>
        <v>DS</v>
      </c>
      <c r="KE127" s="358" t="str">
        <f>Language!$E$212</f>
        <v>exact</v>
      </c>
      <c r="KF127" s="358" t="str">
        <f>Language!$E$224</f>
        <v>grote aant.</v>
      </c>
      <c r="KG127" s="359" t="str">
        <f>Language!$E$213</f>
        <v>teams</v>
      </c>
      <c r="KL127" s="356"/>
      <c r="KM127" s="357"/>
      <c r="KN127" s="357"/>
      <c r="KO127" s="358" t="str">
        <f>Language!$E$219</f>
        <v>Finale</v>
      </c>
      <c r="KP127" s="358" t="str">
        <f>Language!$E$210</f>
        <v>W/G/V</v>
      </c>
      <c r="KQ127" s="358" t="str">
        <f>Language!$E$211</f>
        <v>DS</v>
      </c>
      <c r="KR127" s="358" t="str">
        <f>Language!$E$212</f>
        <v>exact</v>
      </c>
      <c r="KS127" s="358" t="str">
        <f>Language!$E$224</f>
        <v>grote aant.</v>
      </c>
      <c r="KT127" s="359" t="str">
        <f>Language!$E$213</f>
        <v>teams</v>
      </c>
      <c r="KY127" s="356"/>
      <c r="KZ127" s="357"/>
      <c r="LA127" s="357"/>
      <c r="LB127" s="358" t="str">
        <f>Language!$E$219</f>
        <v>Finale</v>
      </c>
      <c r="LC127" s="358" t="str">
        <f>Language!$E$210</f>
        <v>W/G/V</v>
      </c>
      <c r="LD127" s="358" t="str">
        <f>Language!$E$211</f>
        <v>DS</v>
      </c>
      <c r="LE127" s="358" t="str">
        <f>Language!$E$212</f>
        <v>exact</v>
      </c>
      <c r="LF127" s="358" t="str">
        <f>Language!$E$224</f>
        <v>grote aant.</v>
      </c>
      <c r="LG127" s="359" t="str">
        <f>Language!$E$213</f>
        <v>teams</v>
      </c>
      <c r="LL127" s="356"/>
      <c r="LM127" s="357"/>
      <c r="LN127" s="357"/>
      <c r="LO127" s="358" t="str">
        <f>Language!$E$219</f>
        <v>Finale</v>
      </c>
      <c r="LP127" s="358" t="str">
        <f>Language!$E$210</f>
        <v>W/G/V</v>
      </c>
      <c r="LQ127" s="358" t="str">
        <f>Language!$E$211</f>
        <v>DS</v>
      </c>
      <c r="LR127" s="358" t="str">
        <f>Language!$E$212</f>
        <v>exact</v>
      </c>
      <c r="LS127" s="358" t="str">
        <f>Language!$E$224</f>
        <v>grote aant.</v>
      </c>
      <c r="LT127" s="359" t="str">
        <f>Language!$E$213</f>
        <v>teams</v>
      </c>
      <c r="LY127" s="356"/>
      <c r="LZ127" s="357"/>
      <c r="MA127" s="357"/>
      <c r="MB127" s="358" t="str">
        <f>Language!$E$219</f>
        <v>Finale</v>
      </c>
      <c r="MC127" s="358" t="str">
        <f>Language!$E$210</f>
        <v>W/G/V</v>
      </c>
      <c r="MD127" s="358" t="str">
        <f>Language!$E$211</f>
        <v>DS</v>
      </c>
      <c r="ME127" s="358" t="str">
        <f>Language!$E$212</f>
        <v>exact</v>
      </c>
      <c r="MF127" s="358" t="str">
        <f>Language!$E$224</f>
        <v>grote aant.</v>
      </c>
      <c r="MG127" s="359" t="str">
        <f>Language!$E$213</f>
        <v>teams</v>
      </c>
    </row>
    <row r="128" spans="1:345">
      <c r="L128" s="1320" t="str">
        <f>Language!$E$245</f>
        <v>Nummer:</v>
      </c>
      <c r="M128" s="1321"/>
      <c r="N128" s="1322"/>
      <c r="O128" s="240">
        <f>SUM(O124:O126)</f>
        <v>0</v>
      </c>
      <c r="P128" s="240">
        <f>SUM(P6:P122)</f>
        <v>0</v>
      </c>
      <c r="Q128" s="240">
        <f t="shared" ref="Q128:S128" si="1716">SUM(Q6:Q122)</f>
        <v>0</v>
      </c>
      <c r="R128" s="240">
        <f t="shared" si="1716"/>
        <v>0</v>
      </c>
      <c r="S128" s="240">
        <f t="shared" si="1716"/>
        <v>0</v>
      </c>
      <c r="T128" s="261">
        <f>SUM(T107:T122)+SUM(T126:T126)</f>
        <v>0</v>
      </c>
      <c r="Y128" s="1320" t="str">
        <f>Language!$E$245</f>
        <v>Nummer:</v>
      </c>
      <c r="Z128" s="1321"/>
      <c r="AA128" s="1322"/>
      <c r="AB128" s="240">
        <f>SUM(AB124:AB126)</f>
        <v>0</v>
      </c>
      <c r="AC128" s="240">
        <f>SUM(AC6:AC122)</f>
        <v>0</v>
      </c>
      <c r="AD128" s="240">
        <f t="shared" ref="AD128:AF128" si="1717">SUM(AD6:AD122)</f>
        <v>0</v>
      </c>
      <c r="AE128" s="240">
        <f t="shared" si="1717"/>
        <v>0</v>
      </c>
      <c r="AF128" s="240">
        <f t="shared" si="1717"/>
        <v>0</v>
      </c>
      <c r="AG128" s="261">
        <f>SUM(AG107:AG122)+SUM(AG126:AG126)</f>
        <v>0</v>
      </c>
      <c r="AL128" s="1320" t="str">
        <f>Language!$E$245</f>
        <v>Nummer:</v>
      </c>
      <c r="AM128" s="1321"/>
      <c r="AN128" s="1322"/>
      <c r="AO128" s="240">
        <f>SUM(AO124:AO126)</f>
        <v>0</v>
      </c>
      <c r="AP128" s="240">
        <f>SUM(AP6:AP122)</f>
        <v>0</v>
      </c>
      <c r="AQ128" s="240">
        <f t="shared" ref="AQ128:AS128" si="1718">SUM(AQ6:AQ122)</f>
        <v>0</v>
      </c>
      <c r="AR128" s="240">
        <f t="shared" si="1718"/>
        <v>0</v>
      </c>
      <c r="AS128" s="240">
        <f t="shared" si="1718"/>
        <v>0</v>
      </c>
      <c r="AT128" s="261">
        <f>SUM(AT107:AT122)+SUM(AT126:AT126)</f>
        <v>0</v>
      </c>
      <c r="AY128" s="1320" t="str">
        <f>Language!$E$245</f>
        <v>Nummer:</v>
      </c>
      <c r="AZ128" s="1321"/>
      <c r="BA128" s="1322"/>
      <c r="BB128" s="240">
        <f>SUM(BB124:BB126)</f>
        <v>0</v>
      </c>
      <c r="BC128" s="240">
        <f>SUM(BC6:BC122)</f>
        <v>0</v>
      </c>
      <c r="BD128" s="240">
        <f t="shared" ref="BD128:BF128" si="1719">SUM(BD6:BD122)</f>
        <v>0</v>
      </c>
      <c r="BE128" s="240">
        <f t="shared" si="1719"/>
        <v>0</v>
      </c>
      <c r="BF128" s="240">
        <f t="shared" si="1719"/>
        <v>0</v>
      </c>
      <c r="BG128" s="261">
        <f>SUM(BG107:BG122)+SUM(BG126:BG126)</f>
        <v>0</v>
      </c>
      <c r="BL128" s="1320" t="str">
        <f>Language!$E$245</f>
        <v>Nummer:</v>
      </c>
      <c r="BM128" s="1321"/>
      <c r="BN128" s="1322"/>
      <c r="BO128" s="240">
        <f>SUM(BO124:BO126)</f>
        <v>0</v>
      </c>
      <c r="BP128" s="240">
        <f>SUM(BP6:BP122)</f>
        <v>0</v>
      </c>
      <c r="BQ128" s="240">
        <f t="shared" ref="BQ128:BS128" si="1720">SUM(BQ6:BQ122)</f>
        <v>0</v>
      </c>
      <c r="BR128" s="240">
        <f t="shared" si="1720"/>
        <v>0</v>
      </c>
      <c r="BS128" s="240">
        <f t="shared" si="1720"/>
        <v>0</v>
      </c>
      <c r="BT128" s="261">
        <f>SUM(BT107:BT122)+SUM(BT126:BT126)</f>
        <v>0</v>
      </c>
      <c r="BY128" s="1320" t="str">
        <f>Language!$E$245</f>
        <v>Nummer:</v>
      </c>
      <c r="BZ128" s="1321"/>
      <c r="CA128" s="1322"/>
      <c r="CB128" s="240">
        <f>SUM(CB124:CB126)</f>
        <v>0</v>
      </c>
      <c r="CC128" s="240">
        <f>SUM(CC6:CC122)</f>
        <v>0</v>
      </c>
      <c r="CD128" s="240">
        <f t="shared" ref="CD128:CF128" si="1721">SUM(CD6:CD122)</f>
        <v>0</v>
      </c>
      <c r="CE128" s="240">
        <f t="shared" si="1721"/>
        <v>0</v>
      </c>
      <c r="CF128" s="240">
        <f t="shared" si="1721"/>
        <v>0</v>
      </c>
      <c r="CG128" s="261">
        <f>SUM(CG107:CG122)+SUM(CG126:CG126)</f>
        <v>0</v>
      </c>
      <c r="CL128" s="1320" t="str">
        <f>Language!$E$245</f>
        <v>Nummer:</v>
      </c>
      <c r="CM128" s="1321"/>
      <c r="CN128" s="1322"/>
      <c r="CO128" s="240">
        <f>SUM(CO124:CO126)</f>
        <v>0</v>
      </c>
      <c r="CP128" s="240">
        <f>SUM(CP6:CP122)</f>
        <v>0</v>
      </c>
      <c r="CQ128" s="240">
        <f t="shared" ref="CQ128:CS128" si="1722">SUM(CQ6:CQ122)</f>
        <v>0</v>
      </c>
      <c r="CR128" s="240">
        <f t="shared" si="1722"/>
        <v>0</v>
      </c>
      <c r="CS128" s="240">
        <f t="shared" si="1722"/>
        <v>0</v>
      </c>
      <c r="CT128" s="261">
        <f>SUM(CT107:CT122)+SUM(CT126:CT126)</f>
        <v>0</v>
      </c>
      <c r="CY128" s="1320" t="str">
        <f>Language!$E$245</f>
        <v>Nummer:</v>
      </c>
      <c r="CZ128" s="1321"/>
      <c r="DA128" s="1322"/>
      <c r="DB128" s="240">
        <f>SUM(DB124:DB126)</f>
        <v>0</v>
      </c>
      <c r="DC128" s="240">
        <f>SUM(DC6:DC122)</f>
        <v>0</v>
      </c>
      <c r="DD128" s="240">
        <f t="shared" ref="DD128:DF128" si="1723">SUM(DD6:DD122)</f>
        <v>0</v>
      </c>
      <c r="DE128" s="240">
        <f t="shared" si="1723"/>
        <v>0</v>
      </c>
      <c r="DF128" s="240">
        <f t="shared" si="1723"/>
        <v>0</v>
      </c>
      <c r="DG128" s="261">
        <f>SUM(DG107:DG122)+SUM(DG126:DG126)</f>
        <v>0</v>
      </c>
      <c r="DL128" s="1320" t="str">
        <f>Language!$E$245</f>
        <v>Nummer:</v>
      </c>
      <c r="DM128" s="1321"/>
      <c r="DN128" s="1322"/>
      <c r="DO128" s="240">
        <f>SUM(DO124:DO126)</f>
        <v>0</v>
      </c>
      <c r="DP128" s="240">
        <f>SUM(DP6:DP122)</f>
        <v>0</v>
      </c>
      <c r="DQ128" s="240">
        <f t="shared" ref="DQ128:DS128" si="1724">SUM(DQ6:DQ122)</f>
        <v>0</v>
      </c>
      <c r="DR128" s="240">
        <f t="shared" si="1724"/>
        <v>0</v>
      </c>
      <c r="DS128" s="240">
        <f t="shared" si="1724"/>
        <v>0</v>
      </c>
      <c r="DT128" s="261">
        <f>SUM(DT107:DT122)+SUM(DT126:DT126)</f>
        <v>0</v>
      </c>
      <c r="DY128" s="1320" t="str">
        <f>Language!$E$245</f>
        <v>Nummer:</v>
      </c>
      <c r="DZ128" s="1321"/>
      <c r="EA128" s="1322"/>
      <c r="EB128" s="240">
        <f>SUM(EB124:EB126)</f>
        <v>0</v>
      </c>
      <c r="EC128" s="240">
        <f>SUM(EC6:EC122)</f>
        <v>0</v>
      </c>
      <c r="ED128" s="240">
        <f t="shared" ref="ED128:EF128" si="1725">SUM(ED6:ED122)</f>
        <v>0</v>
      </c>
      <c r="EE128" s="240">
        <f t="shared" si="1725"/>
        <v>0</v>
      </c>
      <c r="EF128" s="240">
        <f t="shared" si="1725"/>
        <v>0</v>
      </c>
      <c r="EG128" s="261">
        <f>SUM(EG107:EG122)+SUM(EG126:EG126)</f>
        <v>0</v>
      </c>
      <c r="EL128" s="1320" t="str">
        <f>Language!$E$245</f>
        <v>Nummer:</v>
      </c>
      <c r="EM128" s="1321"/>
      <c r="EN128" s="1322"/>
      <c r="EO128" s="240">
        <f>SUM(EO124:EO126)</f>
        <v>0</v>
      </c>
      <c r="EP128" s="240">
        <f>SUM(EP6:EP122)</f>
        <v>0</v>
      </c>
      <c r="EQ128" s="240">
        <f t="shared" ref="EQ128:ES128" si="1726">SUM(EQ6:EQ122)</f>
        <v>0</v>
      </c>
      <c r="ER128" s="240">
        <f t="shared" si="1726"/>
        <v>0</v>
      </c>
      <c r="ES128" s="240">
        <f t="shared" si="1726"/>
        <v>0</v>
      </c>
      <c r="ET128" s="261">
        <f>SUM(ET107:ET122)+SUM(ET126:ET126)</f>
        <v>0</v>
      </c>
      <c r="EY128" s="1320" t="str">
        <f>Language!$E$245</f>
        <v>Nummer:</v>
      </c>
      <c r="EZ128" s="1321"/>
      <c r="FA128" s="1322"/>
      <c r="FB128" s="240">
        <f>SUM(FB124:FB126)</f>
        <v>0</v>
      </c>
      <c r="FC128" s="240">
        <f>SUM(FC6:FC122)</f>
        <v>0</v>
      </c>
      <c r="FD128" s="240">
        <f t="shared" ref="FD128:FF128" si="1727">SUM(FD6:FD122)</f>
        <v>0</v>
      </c>
      <c r="FE128" s="240">
        <f t="shared" si="1727"/>
        <v>0</v>
      </c>
      <c r="FF128" s="240">
        <f t="shared" si="1727"/>
        <v>0</v>
      </c>
      <c r="FG128" s="261">
        <f>SUM(FG107:FG122)+SUM(FG126:FG126)</f>
        <v>0</v>
      </c>
      <c r="FL128" s="1320" t="str">
        <f>Language!$E$245</f>
        <v>Nummer:</v>
      </c>
      <c r="FM128" s="1321"/>
      <c r="FN128" s="1322"/>
      <c r="FO128" s="240">
        <f>SUM(FO124:FO126)</f>
        <v>0</v>
      </c>
      <c r="FP128" s="240">
        <f>SUM(FP6:FP122)</f>
        <v>0</v>
      </c>
      <c r="FQ128" s="240">
        <f t="shared" ref="FQ128:FS128" si="1728">SUM(FQ6:FQ122)</f>
        <v>0</v>
      </c>
      <c r="FR128" s="240">
        <f t="shared" si="1728"/>
        <v>0</v>
      </c>
      <c r="FS128" s="240">
        <f t="shared" si="1728"/>
        <v>0</v>
      </c>
      <c r="FT128" s="261">
        <f>SUM(FT107:FT122)+SUM(FT126:FT126)</f>
        <v>0</v>
      </c>
      <c r="FY128" s="1320" t="str">
        <f>Language!$E$245</f>
        <v>Nummer:</v>
      </c>
      <c r="FZ128" s="1321"/>
      <c r="GA128" s="1322"/>
      <c r="GB128" s="240">
        <f>SUM(GB124:GB126)</f>
        <v>0</v>
      </c>
      <c r="GC128" s="240">
        <f>SUM(GC6:GC122)</f>
        <v>0</v>
      </c>
      <c r="GD128" s="240">
        <f t="shared" ref="GD128:GF128" si="1729">SUM(GD6:GD122)</f>
        <v>0</v>
      </c>
      <c r="GE128" s="240">
        <f t="shared" si="1729"/>
        <v>0</v>
      </c>
      <c r="GF128" s="240">
        <f t="shared" si="1729"/>
        <v>0</v>
      </c>
      <c r="GG128" s="261">
        <f>SUM(GG107:GG122)+SUM(GG126:GG126)</f>
        <v>0</v>
      </c>
      <c r="GL128" s="1320" t="str">
        <f>Language!$E$245</f>
        <v>Nummer:</v>
      </c>
      <c r="GM128" s="1321"/>
      <c r="GN128" s="1322"/>
      <c r="GO128" s="240">
        <f>SUM(GO124:GO126)</f>
        <v>0</v>
      </c>
      <c r="GP128" s="240">
        <f>SUM(GP6:GP122)</f>
        <v>0</v>
      </c>
      <c r="GQ128" s="240">
        <f t="shared" ref="GQ128:GS128" si="1730">SUM(GQ6:GQ122)</f>
        <v>0</v>
      </c>
      <c r="GR128" s="240">
        <f t="shared" si="1730"/>
        <v>0</v>
      </c>
      <c r="GS128" s="240">
        <f t="shared" si="1730"/>
        <v>0</v>
      </c>
      <c r="GT128" s="261">
        <f>SUM(GT107:GT122)+SUM(GT126:GT126)</f>
        <v>0</v>
      </c>
      <c r="GY128" s="1320" t="str">
        <f>Language!$E$245</f>
        <v>Nummer:</v>
      </c>
      <c r="GZ128" s="1321"/>
      <c r="HA128" s="1322"/>
      <c r="HB128" s="240">
        <f>SUM(HB124:HB126)</f>
        <v>0</v>
      </c>
      <c r="HC128" s="240">
        <f>SUM(HC6:HC122)</f>
        <v>0</v>
      </c>
      <c r="HD128" s="240">
        <f t="shared" ref="HD128:HF128" si="1731">SUM(HD6:HD122)</f>
        <v>0</v>
      </c>
      <c r="HE128" s="240">
        <f t="shared" si="1731"/>
        <v>0</v>
      </c>
      <c r="HF128" s="240">
        <f t="shared" si="1731"/>
        <v>0</v>
      </c>
      <c r="HG128" s="261">
        <f>SUM(HG107:HG122)+SUM(HG126:HG126)</f>
        <v>0</v>
      </c>
      <c r="HL128" s="1320" t="str">
        <f>Language!$E$245</f>
        <v>Nummer:</v>
      </c>
      <c r="HM128" s="1321"/>
      <c r="HN128" s="1322"/>
      <c r="HO128" s="240">
        <f>SUM(HO124:HO126)</f>
        <v>0</v>
      </c>
      <c r="HP128" s="240">
        <f>SUM(HP6:HP122)</f>
        <v>0</v>
      </c>
      <c r="HQ128" s="240">
        <f t="shared" ref="HQ128:HS128" si="1732">SUM(HQ6:HQ122)</f>
        <v>0</v>
      </c>
      <c r="HR128" s="240">
        <f t="shared" si="1732"/>
        <v>0</v>
      </c>
      <c r="HS128" s="240">
        <f t="shared" si="1732"/>
        <v>0</v>
      </c>
      <c r="HT128" s="261">
        <f>SUM(HT107:HT122)+SUM(HT126:HT126)</f>
        <v>0</v>
      </c>
      <c r="HY128" s="1320" t="str">
        <f>Language!$E$245</f>
        <v>Nummer:</v>
      </c>
      <c r="HZ128" s="1321"/>
      <c r="IA128" s="1322"/>
      <c r="IB128" s="240">
        <f>SUM(IB124:IB126)</f>
        <v>0</v>
      </c>
      <c r="IC128" s="240">
        <f>SUM(IC6:IC122)</f>
        <v>0</v>
      </c>
      <c r="ID128" s="240">
        <f t="shared" ref="ID128:IF128" si="1733">SUM(ID6:ID122)</f>
        <v>0</v>
      </c>
      <c r="IE128" s="240">
        <f t="shared" si="1733"/>
        <v>0</v>
      </c>
      <c r="IF128" s="240">
        <f t="shared" si="1733"/>
        <v>0</v>
      </c>
      <c r="IG128" s="261">
        <f>SUM(IG107:IG122)+SUM(IG126:IG126)</f>
        <v>0</v>
      </c>
      <c r="IL128" s="1320" t="str">
        <f>Language!$E$245</f>
        <v>Nummer:</v>
      </c>
      <c r="IM128" s="1321"/>
      <c r="IN128" s="1322"/>
      <c r="IO128" s="240">
        <f>SUM(IO124:IO126)</f>
        <v>0</v>
      </c>
      <c r="IP128" s="240">
        <f>SUM(IP6:IP122)</f>
        <v>0</v>
      </c>
      <c r="IQ128" s="240">
        <f t="shared" ref="IQ128:IS128" si="1734">SUM(IQ6:IQ122)</f>
        <v>0</v>
      </c>
      <c r="IR128" s="240">
        <f t="shared" si="1734"/>
        <v>0</v>
      </c>
      <c r="IS128" s="240">
        <f t="shared" si="1734"/>
        <v>0</v>
      </c>
      <c r="IT128" s="261">
        <f>SUM(IT107:IT122)+SUM(IT126:IT126)</f>
        <v>0</v>
      </c>
      <c r="IY128" s="1320" t="str">
        <f>Language!$E$245</f>
        <v>Nummer:</v>
      </c>
      <c r="IZ128" s="1321"/>
      <c r="JA128" s="1322"/>
      <c r="JB128" s="240">
        <f>SUM(JB124:JB126)</f>
        <v>0</v>
      </c>
      <c r="JC128" s="240">
        <f>SUM(JC6:JC122)</f>
        <v>0</v>
      </c>
      <c r="JD128" s="240">
        <f t="shared" ref="JD128:JF128" si="1735">SUM(JD6:JD122)</f>
        <v>0</v>
      </c>
      <c r="JE128" s="240">
        <f t="shared" si="1735"/>
        <v>0</v>
      </c>
      <c r="JF128" s="240">
        <f t="shared" si="1735"/>
        <v>0</v>
      </c>
      <c r="JG128" s="261">
        <f>SUM(JG107:JG122)+SUM(JG126:JG126)</f>
        <v>0</v>
      </c>
      <c r="JL128" s="1320" t="str">
        <f>Language!$E$245</f>
        <v>Nummer:</v>
      </c>
      <c r="JM128" s="1321"/>
      <c r="JN128" s="1322"/>
      <c r="JO128" s="240">
        <f>SUM(JO124:JO126)</f>
        <v>0</v>
      </c>
      <c r="JP128" s="240">
        <f>SUM(JP6:JP122)</f>
        <v>0</v>
      </c>
      <c r="JQ128" s="240">
        <f t="shared" ref="JQ128:JS128" si="1736">SUM(JQ6:JQ122)</f>
        <v>0</v>
      </c>
      <c r="JR128" s="240">
        <f t="shared" si="1736"/>
        <v>0</v>
      </c>
      <c r="JS128" s="240">
        <f t="shared" si="1736"/>
        <v>0</v>
      </c>
      <c r="JT128" s="261">
        <f>SUM(JT107:JT122)+SUM(JT126:JT126)</f>
        <v>0</v>
      </c>
      <c r="JY128" s="1320" t="str">
        <f>Language!$E$245</f>
        <v>Nummer:</v>
      </c>
      <c r="JZ128" s="1321"/>
      <c r="KA128" s="1322"/>
      <c r="KB128" s="240">
        <f>SUM(KB124:KB126)</f>
        <v>0</v>
      </c>
      <c r="KC128" s="240">
        <f>SUM(KC6:KC122)</f>
        <v>0</v>
      </c>
      <c r="KD128" s="240">
        <f t="shared" ref="KD128:KF128" si="1737">SUM(KD6:KD122)</f>
        <v>0</v>
      </c>
      <c r="KE128" s="240">
        <f t="shared" si="1737"/>
        <v>0</v>
      </c>
      <c r="KF128" s="240">
        <f t="shared" si="1737"/>
        <v>0</v>
      </c>
      <c r="KG128" s="261">
        <f>SUM(KG107:KG122)+SUM(KG126:KG126)</f>
        <v>0</v>
      </c>
      <c r="KL128" s="1320" t="str">
        <f>Language!$E$245</f>
        <v>Nummer:</v>
      </c>
      <c r="KM128" s="1321"/>
      <c r="KN128" s="1322"/>
      <c r="KO128" s="240">
        <f>SUM(KO124:KO126)</f>
        <v>0</v>
      </c>
      <c r="KP128" s="240">
        <f>SUM(KP6:KP122)</f>
        <v>0</v>
      </c>
      <c r="KQ128" s="240">
        <f t="shared" ref="KQ128:KS128" si="1738">SUM(KQ6:KQ122)</f>
        <v>0</v>
      </c>
      <c r="KR128" s="240">
        <f t="shared" si="1738"/>
        <v>0</v>
      </c>
      <c r="KS128" s="240">
        <f t="shared" si="1738"/>
        <v>0</v>
      </c>
      <c r="KT128" s="261">
        <f>SUM(KT107:KT122)+SUM(KT126:KT126)</f>
        <v>0</v>
      </c>
      <c r="KY128" s="1320" t="str">
        <f>Language!$E$245</f>
        <v>Nummer:</v>
      </c>
      <c r="KZ128" s="1321"/>
      <c r="LA128" s="1322"/>
      <c r="LB128" s="240">
        <f>SUM(LB124:LB126)</f>
        <v>0</v>
      </c>
      <c r="LC128" s="240">
        <f>SUM(LC6:LC122)</f>
        <v>0</v>
      </c>
      <c r="LD128" s="240">
        <f t="shared" ref="LD128:LF128" si="1739">SUM(LD6:LD122)</f>
        <v>0</v>
      </c>
      <c r="LE128" s="240">
        <f t="shared" si="1739"/>
        <v>0</v>
      </c>
      <c r="LF128" s="240">
        <f t="shared" si="1739"/>
        <v>0</v>
      </c>
      <c r="LG128" s="261">
        <f>SUM(LG107:LG122)+SUM(LG126:LG126)</f>
        <v>0</v>
      </c>
      <c r="LL128" s="1320" t="str">
        <f>Language!$E$245</f>
        <v>Nummer:</v>
      </c>
      <c r="LM128" s="1321"/>
      <c r="LN128" s="1322"/>
      <c r="LO128" s="240">
        <f>SUM(LO124:LO126)</f>
        <v>0</v>
      </c>
      <c r="LP128" s="240">
        <f>SUM(LP6:LP122)</f>
        <v>0</v>
      </c>
      <c r="LQ128" s="240">
        <f t="shared" ref="LQ128:LS128" si="1740">SUM(LQ6:LQ122)</f>
        <v>0</v>
      </c>
      <c r="LR128" s="240">
        <f t="shared" si="1740"/>
        <v>0</v>
      </c>
      <c r="LS128" s="240">
        <f t="shared" si="1740"/>
        <v>0</v>
      </c>
      <c r="LT128" s="261">
        <f>SUM(LT107:LT122)+SUM(LT126:LT126)</f>
        <v>0</v>
      </c>
      <c r="LY128" s="1320" t="str">
        <f>Language!$E$245</f>
        <v>Nummer:</v>
      </c>
      <c r="LZ128" s="1321"/>
      <c r="MA128" s="1322"/>
      <c r="MB128" s="240">
        <f>SUM(MB124:MB126)</f>
        <v>0</v>
      </c>
      <c r="MC128" s="240">
        <f>SUM(MC6:MC122)</f>
        <v>0</v>
      </c>
      <c r="MD128" s="240">
        <f t="shared" ref="MD128:MF128" si="1741">SUM(MD6:MD122)</f>
        <v>0</v>
      </c>
      <c r="ME128" s="240">
        <f t="shared" si="1741"/>
        <v>0</v>
      </c>
      <c r="MF128" s="240">
        <f t="shared" si="1741"/>
        <v>0</v>
      </c>
      <c r="MG128" s="261">
        <f>SUM(MG107:MG122)+SUM(MG126:MG126)</f>
        <v>0</v>
      </c>
    </row>
    <row r="129" spans="2:345" ht="16.5" thickBot="1">
      <c r="L129" s="1359" t="str">
        <f>Language!$E$207</f>
        <v>Punten:</v>
      </c>
      <c r="M129" s="1360"/>
      <c r="N129" s="1361"/>
      <c r="O129" s="589">
        <f>O128*PrSettings!$F$9</f>
        <v>0</v>
      </c>
      <c r="P129" s="589">
        <f>P128*PrSettings!$F$4</f>
        <v>0</v>
      </c>
      <c r="Q129" s="589">
        <f>Q128*PrSettings!$F$5</f>
        <v>0</v>
      </c>
      <c r="R129" s="589">
        <f>R128*PrSettings!$F$6</f>
        <v>0</v>
      </c>
      <c r="S129" s="589">
        <f>S128*PrSettings!$F$7</f>
        <v>0</v>
      </c>
      <c r="T129" s="590">
        <f>T128*PrSettings!$F$8</f>
        <v>0</v>
      </c>
      <c r="Y129" s="1323" t="str">
        <f>Language!$E$207</f>
        <v>Punten:</v>
      </c>
      <c r="Z129" s="1324"/>
      <c r="AA129" s="1325"/>
      <c r="AB129" s="268">
        <f>AB128*PrSettings!$F$9</f>
        <v>0</v>
      </c>
      <c r="AC129" s="268">
        <f>AC128*PrSettings!$F$4</f>
        <v>0</v>
      </c>
      <c r="AD129" s="268">
        <f>AD128*PrSettings!$F$5</f>
        <v>0</v>
      </c>
      <c r="AE129" s="268">
        <f>AE128*PrSettings!$F$6</f>
        <v>0</v>
      </c>
      <c r="AF129" s="268">
        <f>AF128*PrSettings!$F$7</f>
        <v>0</v>
      </c>
      <c r="AG129" s="269">
        <f>AG128*PrSettings!$F$8</f>
        <v>0</v>
      </c>
      <c r="AL129" s="1323" t="str">
        <f>Language!$E$207</f>
        <v>Punten:</v>
      </c>
      <c r="AM129" s="1324"/>
      <c r="AN129" s="1325"/>
      <c r="AO129" s="268">
        <f>AO128*PrSettings!$F$9</f>
        <v>0</v>
      </c>
      <c r="AP129" s="268">
        <f>AP128*PrSettings!$F$4</f>
        <v>0</v>
      </c>
      <c r="AQ129" s="268">
        <f>AQ128*PrSettings!$F$5</f>
        <v>0</v>
      </c>
      <c r="AR129" s="268">
        <f>AR128*PrSettings!$F$6</f>
        <v>0</v>
      </c>
      <c r="AS129" s="268">
        <f>AS128*PrSettings!$F$7</f>
        <v>0</v>
      </c>
      <c r="AT129" s="269">
        <f>AT128*PrSettings!$F$8</f>
        <v>0</v>
      </c>
      <c r="AY129" s="1323" t="str">
        <f>Language!$E$207</f>
        <v>Punten:</v>
      </c>
      <c r="AZ129" s="1324"/>
      <c r="BA129" s="1325"/>
      <c r="BB129" s="268">
        <f>BB128*PrSettings!$F$9</f>
        <v>0</v>
      </c>
      <c r="BC129" s="268">
        <f>BC128*PrSettings!$F$4</f>
        <v>0</v>
      </c>
      <c r="BD129" s="268">
        <f>BD128*PrSettings!$F$5</f>
        <v>0</v>
      </c>
      <c r="BE129" s="268">
        <f>BE128*PrSettings!$F$6</f>
        <v>0</v>
      </c>
      <c r="BF129" s="268">
        <f>BF128*PrSettings!$F$7</f>
        <v>0</v>
      </c>
      <c r="BG129" s="269">
        <f>BG128*PrSettings!$F$8</f>
        <v>0</v>
      </c>
      <c r="BL129" s="1323" t="str">
        <f>Language!$E$207</f>
        <v>Punten:</v>
      </c>
      <c r="BM129" s="1324"/>
      <c r="BN129" s="1325"/>
      <c r="BO129" s="268">
        <f>BO128*PrSettings!$F$9</f>
        <v>0</v>
      </c>
      <c r="BP129" s="268">
        <f>BP128*PrSettings!$F$4</f>
        <v>0</v>
      </c>
      <c r="BQ129" s="268">
        <f>BQ128*PrSettings!$F$5</f>
        <v>0</v>
      </c>
      <c r="BR129" s="268">
        <f>BR128*PrSettings!$F$6</f>
        <v>0</v>
      </c>
      <c r="BS129" s="268">
        <f>BS128*PrSettings!$F$7</f>
        <v>0</v>
      </c>
      <c r="BT129" s="269">
        <f>BT128*PrSettings!$F$8</f>
        <v>0</v>
      </c>
      <c r="BY129" s="1323" t="str">
        <f>Language!$E$207</f>
        <v>Punten:</v>
      </c>
      <c r="BZ129" s="1324"/>
      <c r="CA129" s="1325"/>
      <c r="CB129" s="268">
        <f>CB128*PrSettings!$F$9</f>
        <v>0</v>
      </c>
      <c r="CC129" s="268">
        <f>CC128*PrSettings!$F$4</f>
        <v>0</v>
      </c>
      <c r="CD129" s="268">
        <f>CD128*PrSettings!$F$5</f>
        <v>0</v>
      </c>
      <c r="CE129" s="268">
        <f>CE128*PrSettings!$F$6</f>
        <v>0</v>
      </c>
      <c r="CF129" s="268">
        <f>CF128*PrSettings!$F$7</f>
        <v>0</v>
      </c>
      <c r="CG129" s="269">
        <f>CG128*PrSettings!$F$8</f>
        <v>0</v>
      </c>
      <c r="CL129" s="1323" t="str">
        <f>Language!$E$207</f>
        <v>Punten:</v>
      </c>
      <c r="CM129" s="1324"/>
      <c r="CN129" s="1325"/>
      <c r="CO129" s="268">
        <f>CO128*PrSettings!$F$9</f>
        <v>0</v>
      </c>
      <c r="CP129" s="268">
        <f>CP128*PrSettings!$F$4</f>
        <v>0</v>
      </c>
      <c r="CQ129" s="268">
        <f>CQ128*PrSettings!$F$5</f>
        <v>0</v>
      </c>
      <c r="CR129" s="268">
        <f>CR128*PrSettings!$F$6</f>
        <v>0</v>
      </c>
      <c r="CS129" s="268">
        <f>CS128*PrSettings!$F$7</f>
        <v>0</v>
      </c>
      <c r="CT129" s="269">
        <f>CT128*PrSettings!$F$8</f>
        <v>0</v>
      </c>
      <c r="CY129" s="1323" t="str">
        <f>Language!$E$207</f>
        <v>Punten:</v>
      </c>
      <c r="CZ129" s="1324"/>
      <c r="DA129" s="1325"/>
      <c r="DB129" s="268">
        <f>DB128*PrSettings!$F$9</f>
        <v>0</v>
      </c>
      <c r="DC129" s="268">
        <f>DC128*PrSettings!$F$4</f>
        <v>0</v>
      </c>
      <c r="DD129" s="268">
        <f>DD128*PrSettings!$F$5</f>
        <v>0</v>
      </c>
      <c r="DE129" s="268">
        <f>DE128*PrSettings!$F$6</f>
        <v>0</v>
      </c>
      <c r="DF129" s="268">
        <f>DF128*PrSettings!$F$7</f>
        <v>0</v>
      </c>
      <c r="DG129" s="269">
        <f>DG128*PrSettings!$F$8</f>
        <v>0</v>
      </c>
      <c r="DL129" s="1323" t="str">
        <f>Language!$E$207</f>
        <v>Punten:</v>
      </c>
      <c r="DM129" s="1324"/>
      <c r="DN129" s="1325"/>
      <c r="DO129" s="268">
        <f>DO128*PrSettings!$F$9</f>
        <v>0</v>
      </c>
      <c r="DP129" s="268">
        <f>DP128*PrSettings!$F$4</f>
        <v>0</v>
      </c>
      <c r="DQ129" s="268">
        <f>DQ128*PrSettings!$F$5</f>
        <v>0</v>
      </c>
      <c r="DR129" s="268">
        <f>DR128*PrSettings!$F$6</f>
        <v>0</v>
      </c>
      <c r="DS129" s="268">
        <f>DS128*PrSettings!$F$7</f>
        <v>0</v>
      </c>
      <c r="DT129" s="269">
        <f>DT128*PrSettings!$F$8</f>
        <v>0</v>
      </c>
      <c r="DY129" s="1323" t="str">
        <f>Language!$E$207</f>
        <v>Punten:</v>
      </c>
      <c r="DZ129" s="1324"/>
      <c r="EA129" s="1325"/>
      <c r="EB129" s="268">
        <f>EB128*PrSettings!$F$9</f>
        <v>0</v>
      </c>
      <c r="EC129" s="268">
        <f>EC128*PrSettings!$F$4</f>
        <v>0</v>
      </c>
      <c r="ED129" s="268">
        <f>ED128*PrSettings!$F$5</f>
        <v>0</v>
      </c>
      <c r="EE129" s="268">
        <f>EE128*PrSettings!$F$6</f>
        <v>0</v>
      </c>
      <c r="EF129" s="268">
        <f>EF128*PrSettings!$F$7</f>
        <v>0</v>
      </c>
      <c r="EG129" s="269">
        <f>EG128*PrSettings!$F$8</f>
        <v>0</v>
      </c>
      <c r="EL129" s="1323" t="str">
        <f>Language!$E$207</f>
        <v>Punten:</v>
      </c>
      <c r="EM129" s="1324"/>
      <c r="EN129" s="1325"/>
      <c r="EO129" s="268">
        <f>EO128*PrSettings!$F$9</f>
        <v>0</v>
      </c>
      <c r="EP129" s="268">
        <f>EP128*PrSettings!$F$4</f>
        <v>0</v>
      </c>
      <c r="EQ129" s="268">
        <f>EQ128*PrSettings!$F$5</f>
        <v>0</v>
      </c>
      <c r="ER129" s="268">
        <f>ER128*PrSettings!$F$6</f>
        <v>0</v>
      </c>
      <c r="ES129" s="268">
        <f>ES128*PrSettings!$F$7</f>
        <v>0</v>
      </c>
      <c r="ET129" s="269">
        <f>ET128*PrSettings!$F$8</f>
        <v>0</v>
      </c>
      <c r="EY129" s="1323" t="str">
        <f>Language!$E$207</f>
        <v>Punten:</v>
      </c>
      <c r="EZ129" s="1324"/>
      <c r="FA129" s="1325"/>
      <c r="FB129" s="268">
        <f>FB128*PrSettings!$F$9</f>
        <v>0</v>
      </c>
      <c r="FC129" s="268">
        <f>FC128*PrSettings!$F$4</f>
        <v>0</v>
      </c>
      <c r="FD129" s="268">
        <f>FD128*PrSettings!$F$5</f>
        <v>0</v>
      </c>
      <c r="FE129" s="268">
        <f>FE128*PrSettings!$F$6</f>
        <v>0</v>
      </c>
      <c r="FF129" s="268">
        <f>FF128*PrSettings!$F$7</f>
        <v>0</v>
      </c>
      <c r="FG129" s="269">
        <f>FG128*PrSettings!$F$8</f>
        <v>0</v>
      </c>
      <c r="FL129" s="1323" t="str">
        <f>Language!$E$207</f>
        <v>Punten:</v>
      </c>
      <c r="FM129" s="1324"/>
      <c r="FN129" s="1325"/>
      <c r="FO129" s="268">
        <f>FO128*PrSettings!$F$9</f>
        <v>0</v>
      </c>
      <c r="FP129" s="268">
        <f>FP128*PrSettings!$F$4</f>
        <v>0</v>
      </c>
      <c r="FQ129" s="268">
        <f>FQ128*PrSettings!$F$5</f>
        <v>0</v>
      </c>
      <c r="FR129" s="268">
        <f>FR128*PrSettings!$F$6</f>
        <v>0</v>
      </c>
      <c r="FS129" s="268">
        <f>FS128*PrSettings!$F$7</f>
        <v>0</v>
      </c>
      <c r="FT129" s="269">
        <f>FT128*PrSettings!$F$8</f>
        <v>0</v>
      </c>
      <c r="FY129" s="1323" t="str">
        <f>Language!$E$207</f>
        <v>Punten:</v>
      </c>
      <c r="FZ129" s="1324"/>
      <c r="GA129" s="1325"/>
      <c r="GB129" s="268">
        <f>GB128*PrSettings!$F$9</f>
        <v>0</v>
      </c>
      <c r="GC129" s="268">
        <f>GC128*PrSettings!$F$4</f>
        <v>0</v>
      </c>
      <c r="GD129" s="268">
        <f>GD128*PrSettings!$F$5</f>
        <v>0</v>
      </c>
      <c r="GE129" s="268">
        <f>GE128*PrSettings!$F$6</f>
        <v>0</v>
      </c>
      <c r="GF129" s="268">
        <f>GF128*PrSettings!$F$7</f>
        <v>0</v>
      </c>
      <c r="GG129" s="269">
        <f>GG128*PrSettings!$F$8</f>
        <v>0</v>
      </c>
      <c r="GL129" s="1323" t="str">
        <f>Language!$E$207</f>
        <v>Punten:</v>
      </c>
      <c r="GM129" s="1324"/>
      <c r="GN129" s="1325"/>
      <c r="GO129" s="268">
        <f>GO128*PrSettings!$F$9</f>
        <v>0</v>
      </c>
      <c r="GP129" s="268">
        <f>GP128*PrSettings!$F$4</f>
        <v>0</v>
      </c>
      <c r="GQ129" s="268">
        <f>GQ128*PrSettings!$F$5</f>
        <v>0</v>
      </c>
      <c r="GR129" s="268">
        <f>GR128*PrSettings!$F$6</f>
        <v>0</v>
      </c>
      <c r="GS129" s="268">
        <f>GS128*PrSettings!$F$7</f>
        <v>0</v>
      </c>
      <c r="GT129" s="269">
        <f>GT128*PrSettings!$F$8</f>
        <v>0</v>
      </c>
      <c r="GY129" s="1323" t="str">
        <f>Language!$E$207</f>
        <v>Punten:</v>
      </c>
      <c r="GZ129" s="1324"/>
      <c r="HA129" s="1325"/>
      <c r="HB129" s="268">
        <f>HB128*PrSettings!$F$9</f>
        <v>0</v>
      </c>
      <c r="HC129" s="268">
        <f>HC128*PrSettings!$F$4</f>
        <v>0</v>
      </c>
      <c r="HD129" s="268">
        <f>HD128*PrSettings!$F$5</f>
        <v>0</v>
      </c>
      <c r="HE129" s="268">
        <f>HE128*PrSettings!$F$6</f>
        <v>0</v>
      </c>
      <c r="HF129" s="268">
        <f>HF128*PrSettings!$F$7</f>
        <v>0</v>
      </c>
      <c r="HG129" s="269">
        <f>HG128*PrSettings!$F$8</f>
        <v>0</v>
      </c>
      <c r="HL129" s="1323" t="str">
        <f>Language!$E$207</f>
        <v>Punten:</v>
      </c>
      <c r="HM129" s="1324"/>
      <c r="HN129" s="1325"/>
      <c r="HO129" s="268">
        <f>HO128*PrSettings!$F$9</f>
        <v>0</v>
      </c>
      <c r="HP129" s="268">
        <f>HP128*PrSettings!$F$4</f>
        <v>0</v>
      </c>
      <c r="HQ129" s="268">
        <f>HQ128*PrSettings!$F$5</f>
        <v>0</v>
      </c>
      <c r="HR129" s="268">
        <f>HR128*PrSettings!$F$6</f>
        <v>0</v>
      </c>
      <c r="HS129" s="268">
        <f>HS128*PrSettings!$F$7</f>
        <v>0</v>
      </c>
      <c r="HT129" s="269">
        <f>HT128*PrSettings!$F$8</f>
        <v>0</v>
      </c>
      <c r="HY129" s="1323" t="str">
        <f>Language!$E$207</f>
        <v>Punten:</v>
      </c>
      <c r="HZ129" s="1324"/>
      <c r="IA129" s="1325"/>
      <c r="IB129" s="268">
        <f>IB128*PrSettings!$F$9</f>
        <v>0</v>
      </c>
      <c r="IC129" s="268">
        <f>IC128*PrSettings!$F$4</f>
        <v>0</v>
      </c>
      <c r="ID129" s="268">
        <f>ID128*PrSettings!$F$5</f>
        <v>0</v>
      </c>
      <c r="IE129" s="268">
        <f>IE128*PrSettings!$F$6</f>
        <v>0</v>
      </c>
      <c r="IF129" s="268">
        <f>IF128*PrSettings!$F$7</f>
        <v>0</v>
      </c>
      <c r="IG129" s="269">
        <f>IG128*PrSettings!$F$8</f>
        <v>0</v>
      </c>
      <c r="IL129" s="1323" t="str">
        <f>Language!$E$207</f>
        <v>Punten:</v>
      </c>
      <c r="IM129" s="1324"/>
      <c r="IN129" s="1325"/>
      <c r="IO129" s="268">
        <f>IO128*PrSettings!$F$9</f>
        <v>0</v>
      </c>
      <c r="IP129" s="268">
        <f>IP128*PrSettings!$F$4</f>
        <v>0</v>
      </c>
      <c r="IQ129" s="268">
        <f>IQ128*PrSettings!$F$5</f>
        <v>0</v>
      </c>
      <c r="IR129" s="268">
        <f>IR128*PrSettings!$F$6</f>
        <v>0</v>
      </c>
      <c r="IS129" s="268">
        <f>IS128*PrSettings!$F$7</f>
        <v>0</v>
      </c>
      <c r="IT129" s="269">
        <f>IT128*PrSettings!$F$8</f>
        <v>0</v>
      </c>
      <c r="IY129" s="1323" t="str">
        <f>Language!$E$207</f>
        <v>Punten:</v>
      </c>
      <c r="IZ129" s="1324"/>
      <c r="JA129" s="1325"/>
      <c r="JB129" s="268">
        <f>JB128*PrSettings!$F$9</f>
        <v>0</v>
      </c>
      <c r="JC129" s="268">
        <f>JC128*PrSettings!$F$4</f>
        <v>0</v>
      </c>
      <c r="JD129" s="268">
        <f>JD128*PrSettings!$F$5</f>
        <v>0</v>
      </c>
      <c r="JE129" s="268">
        <f>JE128*PrSettings!$F$6</f>
        <v>0</v>
      </c>
      <c r="JF129" s="268">
        <f>JF128*PrSettings!$F$7</f>
        <v>0</v>
      </c>
      <c r="JG129" s="269">
        <f>JG128*PrSettings!$F$8</f>
        <v>0</v>
      </c>
      <c r="JL129" s="1323" t="str">
        <f>Language!$E$207</f>
        <v>Punten:</v>
      </c>
      <c r="JM129" s="1324"/>
      <c r="JN129" s="1325"/>
      <c r="JO129" s="268">
        <f>JO128*PrSettings!$F$9</f>
        <v>0</v>
      </c>
      <c r="JP129" s="268">
        <f>JP128*PrSettings!$F$4</f>
        <v>0</v>
      </c>
      <c r="JQ129" s="268">
        <f>JQ128*PrSettings!$F$5</f>
        <v>0</v>
      </c>
      <c r="JR129" s="268">
        <f>JR128*PrSettings!$F$6</f>
        <v>0</v>
      </c>
      <c r="JS129" s="268">
        <f>JS128*PrSettings!$F$7</f>
        <v>0</v>
      </c>
      <c r="JT129" s="269">
        <f>JT128*PrSettings!$F$8</f>
        <v>0</v>
      </c>
      <c r="JY129" s="1323" t="str">
        <f>Language!$E$207</f>
        <v>Punten:</v>
      </c>
      <c r="JZ129" s="1324"/>
      <c r="KA129" s="1325"/>
      <c r="KB129" s="268">
        <f>KB128*PrSettings!$F$9</f>
        <v>0</v>
      </c>
      <c r="KC129" s="268">
        <f>KC128*PrSettings!$F$4</f>
        <v>0</v>
      </c>
      <c r="KD129" s="268">
        <f>KD128*PrSettings!$F$5</f>
        <v>0</v>
      </c>
      <c r="KE129" s="268">
        <f>KE128*PrSettings!$F$6</f>
        <v>0</v>
      </c>
      <c r="KF129" s="268">
        <f>KF128*PrSettings!$F$7</f>
        <v>0</v>
      </c>
      <c r="KG129" s="269">
        <f>KG128*PrSettings!$F$8</f>
        <v>0</v>
      </c>
      <c r="KL129" s="1323" t="str">
        <f>Language!$E$207</f>
        <v>Punten:</v>
      </c>
      <c r="KM129" s="1324"/>
      <c r="KN129" s="1325"/>
      <c r="KO129" s="268">
        <f>KO128*PrSettings!$F$9</f>
        <v>0</v>
      </c>
      <c r="KP129" s="268">
        <f>KP128*PrSettings!$F$4</f>
        <v>0</v>
      </c>
      <c r="KQ129" s="268">
        <f>KQ128*PrSettings!$F$5</f>
        <v>0</v>
      </c>
      <c r="KR129" s="268">
        <f>KR128*PrSettings!$F$6</f>
        <v>0</v>
      </c>
      <c r="KS129" s="268">
        <f>KS128*PrSettings!$F$7</f>
        <v>0</v>
      </c>
      <c r="KT129" s="269">
        <f>KT128*PrSettings!$F$8</f>
        <v>0</v>
      </c>
      <c r="KY129" s="1323" t="str">
        <f>Language!$E$207</f>
        <v>Punten:</v>
      </c>
      <c r="KZ129" s="1324"/>
      <c r="LA129" s="1325"/>
      <c r="LB129" s="268">
        <f>LB128*PrSettings!$F$9</f>
        <v>0</v>
      </c>
      <c r="LC129" s="268">
        <f>LC128*PrSettings!$F$4</f>
        <v>0</v>
      </c>
      <c r="LD129" s="268">
        <f>LD128*PrSettings!$F$5</f>
        <v>0</v>
      </c>
      <c r="LE129" s="268">
        <f>LE128*PrSettings!$F$6</f>
        <v>0</v>
      </c>
      <c r="LF129" s="268">
        <f>LF128*PrSettings!$F$7</f>
        <v>0</v>
      </c>
      <c r="LG129" s="269">
        <f>LG128*PrSettings!$F$8</f>
        <v>0</v>
      </c>
      <c r="LL129" s="1323" t="str">
        <f>Language!$E$207</f>
        <v>Punten:</v>
      </c>
      <c r="LM129" s="1324"/>
      <c r="LN129" s="1325"/>
      <c r="LO129" s="268">
        <f>LO128*PrSettings!$F$9</f>
        <v>0</v>
      </c>
      <c r="LP129" s="268">
        <f>LP128*PrSettings!$F$4</f>
        <v>0</v>
      </c>
      <c r="LQ129" s="268">
        <f>LQ128*PrSettings!$F$5</f>
        <v>0</v>
      </c>
      <c r="LR129" s="268">
        <f>LR128*PrSettings!$F$6</f>
        <v>0</v>
      </c>
      <c r="LS129" s="268">
        <f>LS128*PrSettings!$F$7</f>
        <v>0</v>
      </c>
      <c r="LT129" s="269">
        <f>LT128*PrSettings!$F$8</f>
        <v>0</v>
      </c>
      <c r="LY129" s="1323" t="str">
        <f>Language!$E$207</f>
        <v>Punten:</v>
      </c>
      <c r="LZ129" s="1324"/>
      <c r="MA129" s="1325"/>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c r="L130" s="1329" t="str">
        <f>Language!$E$208</f>
        <v>Totaal:</v>
      </c>
      <c r="M130" s="1330"/>
      <c r="N130" s="1331"/>
      <c r="O130" s="1332">
        <f>SUM(O129:T129)</f>
        <v>0</v>
      </c>
      <c r="P130" s="1333"/>
      <c r="Q130" s="1333"/>
      <c r="R130" s="1333"/>
      <c r="S130" s="1333"/>
      <c r="T130" s="1334"/>
      <c r="Y130" s="1329" t="str">
        <f>Language!$E$208</f>
        <v>Totaal:</v>
      </c>
      <c r="Z130" s="1330"/>
      <c r="AA130" s="1331"/>
      <c r="AB130" s="1332">
        <f>SUM(AB129:AG129)</f>
        <v>0</v>
      </c>
      <c r="AC130" s="1333"/>
      <c r="AD130" s="1333"/>
      <c r="AE130" s="1333"/>
      <c r="AF130" s="1333"/>
      <c r="AG130" s="1334"/>
      <c r="AL130" s="1329" t="str">
        <f>Language!$E$208</f>
        <v>Totaal:</v>
      </c>
      <c r="AM130" s="1330"/>
      <c r="AN130" s="1331"/>
      <c r="AO130" s="1332">
        <f>SUM(AO129:AT129)</f>
        <v>0</v>
      </c>
      <c r="AP130" s="1333"/>
      <c r="AQ130" s="1333"/>
      <c r="AR130" s="1333"/>
      <c r="AS130" s="1333"/>
      <c r="AT130" s="1334"/>
      <c r="AY130" s="1329" t="str">
        <f>Language!$E$208</f>
        <v>Totaal:</v>
      </c>
      <c r="AZ130" s="1330"/>
      <c r="BA130" s="1331"/>
      <c r="BB130" s="1332">
        <f>SUM(BB129:BG129)</f>
        <v>0</v>
      </c>
      <c r="BC130" s="1333"/>
      <c r="BD130" s="1333"/>
      <c r="BE130" s="1333"/>
      <c r="BF130" s="1333"/>
      <c r="BG130" s="1334"/>
      <c r="BL130" s="1329" t="str">
        <f>Language!$E$208</f>
        <v>Totaal:</v>
      </c>
      <c r="BM130" s="1330"/>
      <c r="BN130" s="1331"/>
      <c r="BO130" s="1332">
        <f>SUM(BO129:BT129)</f>
        <v>0</v>
      </c>
      <c r="BP130" s="1333"/>
      <c r="BQ130" s="1333"/>
      <c r="BR130" s="1333"/>
      <c r="BS130" s="1333"/>
      <c r="BT130" s="1334"/>
      <c r="BY130" s="1329" t="str">
        <f>Language!$E$208</f>
        <v>Totaal:</v>
      </c>
      <c r="BZ130" s="1330"/>
      <c r="CA130" s="1331"/>
      <c r="CB130" s="1332">
        <f>SUM(CB129:CG129)</f>
        <v>0</v>
      </c>
      <c r="CC130" s="1333"/>
      <c r="CD130" s="1333"/>
      <c r="CE130" s="1333"/>
      <c r="CF130" s="1333"/>
      <c r="CG130" s="1334"/>
      <c r="CL130" s="1329" t="str">
        <f>Language!$E$208</f>
        <v>Totaal:</v>
      </c>
      <c r="CM130" s="1330"/>
      <c r="CN130" s="1331"/>
      <c r="CO130" s="1332">
        <f>SUM(CO129:CT129)</f>
        <v>0</v>
      </c>
      <c r="CP130" s="1333"/>
      <c r="CQ130" s="1333"/>
      <c r="CR130" s="1333"/>
      <c r="CS130" s="1333"/>
      <c r="CT130" s="1334"/>
      <c r="CY130" s="1329" t="str">
        <f>Language!$E$208</f>
        <v>Totaal:</v>
      </c>
      <c r="CZ130" s="1330"/>
      <c r="DA130" s="1331"/>
      <c r="DB130" s="1332">
        <f>SUM(DB129:DG129)</f>
        <v>0</v>
      </c>
      <c r="DC130" s="1333"/>
      <c r="DD130" s="1333"/>
      <c r="DE130" s="1333"/>
      <c r="DF130" s="1333"/>
      <c r="DG130" s="1334"/>
      <c r="DL130" s="1329" t="str">
        <f>Language!$E$208</f>
        <v>Totaal:</v>
      </c>
      <c r="DM130" s="1330"/>
      <c r="DN130" s="1331"/>
      <c r="DO130" s="1332">
        <f>SUM(DO129:DT129)</f>
        <v>0</v>
      </c>
      <c r="DP130" s="1333"/>
      <c r="DQ130" s="1333"/>
      <c r="DR130" s="1333"/>
      <c r="DS130" s="1333"/>
      <c r="DT130" s="1334"/>
      <c r="DY130" s="1329" t="str">
        <f>Language!$E$208</f>
        <v>Totaal:</v>
      </c>
      <c r="DZ130" s="1330"/>
      <c r="EA130" s="1331"/>
      <c r="EB130" s="1332">
        <f>SUM(EB129:EG129)</f>
        <v>0</v>
      </c>
      <c r="EC130" s="1333"/>
      <c r="ED130" s="1333"/>
      <c r="EE130" s="1333"/>
      <c r="EF130" s="1333"/>
      <c r="EG130" s="1334"/>
      <c r="EL130" s="1329" t="str">
        <f>Language!$E$208</f>
        <v>Totaal:</v>
      </c>
      <c r="EM130" s="1330"/>
      <c r="EN130" s="1331"/>
      <c r="EO130" s="1332">
        <f>SUM(EO129:ET129)</f>
        <v>0</v>
      </c>
      <c r="EP130" s="1333"/>
      <c r="EQ130" s="1333"/>
      <c r="ER130" s="1333"/>
      <c r="ES130" s="1333"/>
      <c r="ET130" s="1334"/>
      <c r="EY130" s="1329" t="str">
        <f>Language!$E$208</f>
        <v>Totaal:</v>
      </c>
      <c r="EZ130" s="1330"/>
      <c r="FA130" s="1331"/>
      <c r="FB130" s="1332">
        <f>SUM(FB129:FG129)</f>
        <v>0</v>
      </c>
      <c r="FC130" s="1333"/>
      <c r="FD130" s="1333"/>
      <c r="FE130" s="1333"/>
      <c r="FF130" s="1333"/>
      <c r="FG130" s="1334"/>
      <c r="FL130" s="1329" t="str">
        <f>Language!$E$208</f>
        <v>Totaal:</v>
      </c>
      <c r="FM130" s="1330"/>
      <c r="FN130" s="1331"/>
      <c r="FO130" s="1332">
        <f>SUM(FO129:FT129)</f>
        <v>0</v>
      </c>
      <c r="FP130" s="1333"/>
      <c r="FQ130" s="1333"/>
      <c r="FR130" s="1333"/>
      <c r="FS130" s="1333"/>
      <c r="FT130" s="1334"/>
      <c r="FY130" s="1329" t="str">
        <f>Language!$E$208</f>
        <v>Totaal:</v>
      </c>
      <c r="FZ130" s="1330"/>
      <c r="GA130" s="1331"/>
      <c r="GB130" s="1332">
        <f>SUM(GB129:GG129)</f>
        <v>0</v>
      </c>
      <c r="GC130" s="1333"/>
      <c r="GD130" s="1333"/>
      <c r="GE130" s="1333"/>
      <c r="GF130" s="1333"/>
      <c r="GG130" s="1334"/>
      <c r="GL130" s="1329" t="str">
        <f>Language!$E$208</f>
        <v>Totaal:</v>
      </c>
      <c r="GM130" s="1330"/>
      <c r="GN130" s="1331"/>
      <c r="GO130" s="1332">
        <f>SUM(GO129:GT129)</f>
        <v>0</v>
      </c>
      <c r="GP130" s="1333"/>
      <c r="GQ130" s="1333"/>
      <c r="GR130" s="1333"/>
      <c r="GS130" s="1333"/>
      <c r="GT130" s="1334"/>
      <c r="GY130" s="1329" t="str">
        <f>Language!$E$208</f>
        <v>Totaal:</v>
      </c>
      <c r="GZ130" s="1330"/>
      <c r="HA130" s="1331"/>
      <c r="HB130" s="1332">
        <f>SUM(HB129:HG129)</f>
        <v>0</v>
      </c>
      <c r="HC130" s="1333"/>
      <c r="HD130" s="1333"/>
      <c r="HE130" s="1333"/>
      <c r="HF130" s="1333"/>
      <c r="HG130" s="1334"/>
      <c r="HL130" s="1329" t="str">
        <f>Language!$E$208</f>
        <v>Totaal:</v>
      </c>
      <c r="HM130" s="1330"/>
      <c r="HN130" s="1331"/>
      <c r="HO130" s="1332">
        <f>SUM(HO129:HT129)</f>
        <v>0</v>
      </c>
      <c r="HP130" s="1333"/>
      <c r="HQ130" s="1333"/>
      <c r="HR130" s="1333"/>
      <c r="HS130" s="1333"/>
      <c r="HT130" s="1334"/>
      <c r="HY130" s="1329" t="str">
        <f>Language!$E$208</f>
        <v>Totaal:</v>
      </c>
      <c r="HZ130" s="1330"/>
      <c r="IA130" s="1331"/>
      <c r="IB130" s="1332">
        <f>SUM(IB129:IG129)</f>
        <v>0</v>
      </c>
      <c r="IC130" s="1333"/>
      <c r="ID130" s="1333"/>
      <c r="IE130" s="1333"/>
      <c r="IF130" s="1333"/>
      <c r="IG130" s="1334"/>
      <c r="IL130" s="1329" t="str">
        <f>Language!$E$208</f>
        <v>Totaal:</v>
      </c>
      <c r="IM130" s="1330"/>
      <c r="IN130" s="1331"/>
      <c r="IO130" s="1332">
        <f>SUM(IO129:IT129)</f>
        <v>0</v>
      </c>
      <c r="IP130" s="1333"/>
      <c r="IQ130" s="1333"/>
      <c r="IR130" s="1333"/>
      <c r="IS130" s="1333"/>
      <c r="IT130" s="1334"/>
      <c r="IY130" s="1329" t="str">
        <f>Language!$E$208</f>
        <v>Totaal:</v>
      </c>
      <c r="IZ130" s="1330"/>
      <c r="JA130" s="1331"/>
      <c r="JB130" s="1332">
        <f>SUM(JB129:JG129)</f>
        <v>0</v>
      </c>
      <c r="JC130" s="1333"/>
      <c r="JD130" s="1333"/>
      <c r="JE130" s="1333"/>
      <c r="JF130" s="1333"/>
      <c r="JG130" s="1334"/>
      <c r="JL130" s="1329" t="str">
        <f>Language!$E$208</f>
        <v>Totaal:</v>
      </c>
      <c r="JM130" s="1330"/>
      <c r="JN130" s="1331"/>
      <c r="JO130" s="1332">
        <f>SUM(JO129:JT129)</f>
        <v>0</v>
      </c>
      <c r="JP130" s="1333"/>
      <c r="JQ130" s="1333"/>
      <c r="JR130" s="1333"/>
      <c r="JS130" s="1333"/>
      <c r="JT130" s="1334"/>
      <c r="JY130" s="1329" t="str">
        <f>Language!$E$208</f>
        <v>Totaal:</v>
      </c>
      <c r="JZ130" s="1330"/>
      <c r="KA130" s="1331"/>
      <c r="KB130" s="1332">
        <f>SUM(KB129:KG129)</f>
        <v>0</v>
      </c>
      <c r="KC130" s="1333"/>
      <c r="KD130" s="1333"/>
      <c r="KE130" s="1333"/>
      <c r="KF130" s="1333"/>
      <c r="KG130" s="1334"/>
      <c r="KL130" s="1329" t="str">
        <f>Language!$E$208</f>
        <v>Totaal:</v>
      </c>
      <c r="KM130" s="1330"/>
      <c r="KN130" s="1331"/>
      <c r="KO130" s="1332">
        <f>SUM(KO129:KT129)</f>
        <v>0</v>
      </c>
      <c r="KP130" s="1333"/>
      <c r="KQ130" s="1333"/>
      <c r="KR130" s="1333"/>
      <c r="KS130" s="1333"/>
      <c r="KT130" s="1334"/>
      <c r="KY130" s="1329" t="str">
        <f>Language!$E$208</f>
        <v>Totaal:</v>
      </c>
      <c r="KZ130" s="1330"/>
      <c r="LA130" s="1331"/>
      <c r="LB130" s="1332">
        <f>SUM(LB129:LG129)</f>
        <v>0</v>
      </c>
      <c r="LC130" s="1333"/>
      <c r="LD130" s="1333"/>
      <c r="LE130" s="1333"/>
      <c r="LF130" s="1333"/>
      <c r="LG130" s="1334"/>
      <c r="LL130" s="1329" t="str">
        <f>Language!$E$208</f>
        <v>Totaal:</v>
      </c>
      <c r="LM130" s="1330"/>
      <c r="LN130" s="1331"/>
      <c r="LO130" s="1332">
        <f>SUM(LO129:LT129)</f>
        <v>0</v>
      </c>
      <c r="LP130" s="1333"/>
      <c r="LQ130" s="1333"/>
      <c r="LR130" s="1333"/>
      <c r="LS130" s="1333"/>
      <c r="LT130" s="1334"/>
      <c r="LY130" s="1329" t="str">
        <f>Language!$E$208</f>
        <v>Totaal:</v>
      </c>
      <c r="LZ130" s="1330"/>
      <c r="MA130" s="1331"/>
      <c r="MB130" s="1332">
        <f>SUM(MB129:MG129)</f>
        <v>0</v>
      </c>
      <c r="MC130" s="1333"/>
      <c r="MD130" s="1333"/>
      <c r="ME130" s="1333"/>
      <c r="MF130" s="1333"/>
      <c r="MG130" s="1334"/>
    </row>
    <row r="131" spans="2:345" ht="30.75" customHeight="1" thickTop="1"/>
    <row r="132" spans="2:345" ht="16.5" thickBot="1">
      <c r="B132" s="1352" t="str">
        <f>Language!$E$221</f>
        <v>Opmerking:</v>
      </c>
      <c r="C132" s="1352"/>
      <c r="D132" s="1352"/>
      <c r="E132" s="1352"/>
      <c r="F132" s="1352"/>
      <c r="G132" s="1352"/>
      <c r="H132" s="1352"/>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c r="B133" s="1337" t="str">
        <f>Language!$E$230</f>
        <v>Als u bijvoorbeeld nog tien mensen wilt toevoegen, selecteert u de kolommen HI tot en met MG en kopieert u deze naar rechts. Afgerond. (Bladbescherming verwijderen!)</v>
      </c>
      <c r="C133" s="1338"/>
      <c r="D133" s="1338"/>
      <c r="E133" s="1338"/>
      <c r="F133" s="1338"/>
      <c r="G133" s="1338"/>
      <c r="H133" s="1339"/>
      <c r="I133" s="341"/>
      <c r="J133" s="237"/>
      <c r="K133" s="400">
        <f>IFERROR(VLOOKUP(I122,$B$121:$F$122,5,0),0)</f>
        <v>0</v>
      </c>
      <c r="L133" s="400">
        <f>IFERROR(VLOOKUP(I122,$D$121:$G$122,4,0),0)</f>
        <v>0</v>
      </c>
      <c r="M133" s="400">
        <f>IFERROR(VLOOKUP(K122,$B$121:$F$122,5,0),0)</f>
        <v>0</v>
      </c>
      <c r="N133" s="400">
        <f>IFERROR(VLOOKUP(K122,$D$121:$G$122,4,0),0)</f>
        <v>0</v>
      </c>
      <c r="O133" s="398">
        <f t="shared" ref="O133:O139" si="1742">(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43">IFERROR(VLOOKUP(I108,$B$107:$F$114,5,0),0)</f>
        <v>0</v>
      </c>
      <c r="Q133" s="398">
        <f t="shared" ref="Q133:Q139" si="1744">IFERROR(VLOOKUP(K108,$B$107:$F$114,5,0),0)</f>
        <v>0</v>
      </c>
      <c r="R133" s="398">
        <f t="shared" ref="R133:R139" si="1745">IFERROR(VLOOKUP(I108,$D$107:$G$114,4,0),0)</f>
        <v>0</v>
      </c>
      <c r="S133" s="398">
        <f t="shared" ref="S133:S139" si="1746">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47">(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48">IFERROR(VLOOKUP(V108,$B$107:$F$114,5,0),0)</f>
        <v>0</v>
      </c>
      <c r="AD133" s="398">
        <f t="shared" ref="AD133:AD139" si="1749">IFERROR(VLOOKUP(X108,$B$107:$F$114,5,0),0)</f>
        <v>0</v>
      </c>
      <c r="AE133" s="398">
        <f t="shared" ref="AE133:AE139" si="1750">IFERROR(VLOOKUP(V108,$D$107:$G$114,4,0),0)</f>
        <v>0</v>
      </c>
      <c r="AF133" s="398">
        <f t="shared" ref="AF133:AF139" si="1751">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52">(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53">IFERROR(VLOOKUP(AI108,$B$107:$F$114,5,0),0)</f>
        <v>0</v>
      </c>
      <c r="AQ133" s="398">
        <f t="shared" ref="AQ133:AQ139" si="1754">IFERROR(VLOOKUP(AK108,$B$107:$F$114,5,0),0)</f>
        <v>0</v>
      </c>
      <c r="AR133" s="398">
        <f t="shared" ref="AR133:AR139" si="1755">IFERROR(VLOOKUP(AI108,$D$107:$G$114,4,0),0)</f>
        <v>0</v>
      </c>
      <c r="AS133" s="398">
        <f t="shared" ref="AS133:AS139" si="1756">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57">(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58">IFERROR(VLOOKUP(AV108,$B$107:$F$114,5,0),0)</f>
        <v>0</v>
      </c>
      <c r="BD133" s="398">
        <f t="shared" ref="BD133:BD139" si="1759">IFERROR(VLOOKUP(AX108,$B$107:$F$114,5,0),0)</f>
        <v>0</v>
      </c>
      <c r="BE133" s="398">
        <f t="shared" ref="BE133:BE139" si="1760">IFERROR(VLOOKUP(AV108,$D$107:$G$114,4,0),0)</f>
        <v>0</v>
      </c>
      <c r="BF133" s="398">
        <f t="shared" ref="BF133:BF139" si="1761">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62">(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63">IFERROR(VLOOKUP(BI108,$B$107:$F$114,5,0),0)</f>
        <v>0</v>
      </c>
      <c r="BQ133" s="398">
        <f t="shared" ref="BQ133:BQ139" si="1764">IFERROR(VLOOKUP(BK108,$B$107:$F$114,5,0),0)</f>
        <v>0</v>
      </c>
      <c r="BR133" s="398">
        <f t="shared" ref="BR133:BR139" si="1765">IFERROR(VLOOKUP(BI108,$D$107:$G$114,4,0),0)</f>
        <v>0</v>
      </c>
      <c r="BS133" s="398">
        <f t="shared" ref="BS133:BS139" si="1766">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67">(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68">IFERROR(VLOOKUP(BV108,$B$107:$F$114,5,0),0)</f>
        <v>0</v>
      </c>
      <c r="CD133" s="398">
        <f t="shared" ref="CD133:CD139" si="1769">IFERROR(VLOOKUP(BX108,$B$107:$F$114,5,0),0)</f>
        <v>0</v>
      </c>
      <c r="CE133" s="398">
        <f t="shared" ref="CE133:CE139" si="1770">IFERROR(VLOOKUP(BV108,$D$107:$G$114,4,0),0)</f>
        <v>0</v>
      </c>
      <c r="CF133" s="398">
        <f t="shared" ref="CF133:CF139" si="1771">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72">(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73">IFERROR(VLOOKUP(CI108,$B$107:$F$114,5,0),0)</f>
        <v>0</v>
      </c>
      <c r="CQ133" s="398">
        <f t="shared" ref="CQ133:CQ139" si="1774">IFERROR(VLOOKUP(CK108,$B$107:$F$114,5,0),0)</f>
        <v>0</v>
      </c>
      <c r="CR133" s="398">
        <f t="shared" ref="CR133:CR139" si="1775">IFERROR(VLOOKUP(CI108,$D$107:$G$114,4,0),0)</f>
        <v>0</v>
      </c>
      <c r="CS133" s="398">
        <f t="shared" ref="CS133:CS139" si="1776">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77">(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78">IFERROR(VLOOKUP(CV108,$B$107:$F$114,5,0),0)</f>
        <v>0</v>
      </c>
      <c r="DD133" s="398">
        <f t="shared" ref="DD133:DD139" si="1779">IFERROR(VLOOKUP(CX108,$B$107:$F$114,5,0),0)</f>
        <v>0</v>
      </c>
      <c r="DE133" s="398">
        <f t="shared" ref="DE133:DE139" si="1780">IFERROR(VLOOKUP(CV108,$D$107:$G$114,4,0),0)</f>
        <v>0</v>
      </c>
      <c r="DF133" s="398">
        <f t="shared" ref="DF133:DF139" si="1781">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82">(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83">IFERROR(VLOOKUP(DI108,$B$107:$F$114,5,0),0)</f>
        <v>0</v>
      </c>
      <c r="DQ133" s="398">
        <f t="shared" ref="DQ133:DQ139" si="1784">IFERROR(VLOOKUP(DK108,$B$107:$F$114,5,0),0)</f>
        <v>0</v>
      </c>
      <c r="DR133" s="398">
        <f t="shared" ref="DR133:DR139" si="1785">IFERROR(VLOOKUP(DI108,$D$107:$G$114,4,0),0)</f>
        <v>0</v>
      </c>
      <c r="DS133" s="398">
        <f t="shared" ref="DS133:DS139" si="1786">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87">(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88">IFERROR(VLOOKUP(DV108,$B$107:$F$114,5,0),0)</f>
        <v>0</v>
      </c>
      <c r="ED133" s="398">
        <f t="shared" ref="ED133:ED139" si="1789">IFERROR(VLOOKUP(DX108,$B$107:$F$114,5,0),0)</f>
        <v>0</v>
      </c>
      <c r="EE133" s="398">
        <f t="shared" ref="EE133:EE139" si="1790">IFERROR(VLOOKUP(DV108,$D$107:$G$114,4,0),0)</f>
        <v>0</v>
      </c>
      <c r="EF133" s="398">
        <f t="shared" ref="EF133:EF139" si="1791">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92">(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93">IFERROR(VLOOKUP(EI108,$B$107:$F$114,5,0),0)</f>
        <v>0</v>
      </c>
      <c r="EQ133" s="398">
        <f t="shared" ref="EQ133:EQ139" si="1794">IFERROR(VLOOKUP(EK108,$B$107:$F$114,5,0),0)</f>
        <v>0</v>
      </c>
      <c r="ER133" s="398">
        <f t="shared" ref="ER133:ER139" si="1795">IFERROR(VLOOKUP(EI108,$D$107:$G$114,4,0),0)</f>
        <v>0</v>
      </c>
      <c r="ES133" s="398">
        <f t="shared" ref="ES133:ES139" si="1796">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97">(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98">IFERROR(VLOOKUP(EV108,$B$107:$F$114,5,0),0)</f>
        <v>0</v>
      </c>
      <c r="FD133" s="398">
        <f t="shared" ref="FD133:FD139" si="1799">IFERROR(VLOOKUP(EX108,$B$107:$F$114,5,0),0)</f>
        <v>0</v>
      </c>
      <c r="FE133" s="398">
        <f t="shared" ref="FE133:FE139" si="1800">IFERROR(VLOOKUP(EV108,$D$107:$G$114,4,0),0)</f>
        <v>0</v>
      </c>
      <c r="FF133" s="398">
        <f t="shared" ref="FF133:FF139" si="1801">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802">(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803">IFERROR(VLOOKUP(FI108,$B$107:$F$114,5,0),0)</f>
        <v>0</v>
      </c>
      <c r="FQ133" s="398">
        <f t="shared" ref="FQ133:FQ139" si="1804">IFERROR(VLOOKUP(FK108,$B$107:$F$114,5,0),0)</f>
        <v>0</v>
      </c>
      <c r="FR133" s="398">
        <f t="shared" ref="FR133:FR139" si="1805">IFERROR(VLOOKUP(FI108,$D$107:$G$114,4,0),0)</f>
        <v>0</v>
      </c>
      <c r="FS133" s="398">
        <f t="shared" ref="FS133:FS139" si="1806">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807">(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808">IFERROR(VLOOKUP(FV108,$B$107:$F$114,5,0),0)</f>
        <v>0</v>
      </c>
      <c r="GD133" s="398">
        <f t="shared" ref="GD133:GD139" si="1809">IFERROR(VLOOKUP(FX108,$B$107:$F$114,5,0),0)</f>
        <v>0</v>
      </c>
      <c r="GE133" s="398">
        <f t="shared" ref="GE133:GE139" si="1810">IFERROR(VLOOKUP(FV108,$D$107:$G$114,4,0),0)</f>
        <v>0</v>
      </c>
      <c r="GF133" s="398">
        <f t="shared" ref="GF133:GF139" si="1811">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812">(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813">IFERROR(VLOOKUP(GI108,$B$107:$F$114,5,0),0)</f>
        <v>0</v>
      </c>
      <c r="GQ133" s="398">
        <f t="shared" ref="GQ133:GQ139" si="1814">IFERROR(VLOOKUP(GK108,$B$107:$F$114,5,0),0)</f>
        <v>0</v>
      </c>
      <c r="GR133" s="398">
        <f t="shared" ref="GR133:GR139" si="1815">IFERROR(VLOOKUP(GI108,$D$107:$G$114,4,0),0)</f>
        <v>0</v>
      </c>
      <c r="GS133" s="398">
        <f t="shared" ref="GS133:GS139" si="1816">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817">(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818">IFERROR(VLOOKUP(GV108,$B$107:$F$114,5,0),0)</f>
        <v>0</v>
      </c>
      <c r="HD133" s="398">
        <f t="shared" ref="HD133:HD139" si="1819">IFERROR(VLOOKUP(GX108,$B$107:$F$114,5,0),0)</f>
        <v>0</v>
      </c>
      <c r="HE133" s="398">
        <f t="shared" ref="HE133:HE139" si="1820">IFERROR(VLOOKUP(GV108,$D$107:$G$114,4,0),0)</f>
        <v>0</v>
      </c>
      <c r="HF133" s="398">
        <f t="shared" ref="HF133:HF139" si="1821">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822">(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823">IFERROR(VLOOKUP(HI108,$B$107:$F$114,5,0),0)</f>
        <v>0</v>
      </c>
      <c r="HQ133" s="398">
        <f t="shared" ref="HQ133:HQ139" si="1824">IFERROR(VLOOKUP(HK108,$B$107:$F$114,5,0),0)</f>
        <v>0</v>
      </c>
      <c r="HR133" s="398">
        <f t="shared" ref="HR133:HR139" si="1825">IFERROR(VLOOKUP(HI108,$D$107:$G$114,4,0),0)</f>
        <v>0</v>
      </c>
      <c r="HS133" s="398">
        <f t="shared" ref="HS133:HS139" si="1826">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27">(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28">IFERROR(VLOOKUP(HV108,$B$107:$F$114,5,0),0)</f>
        <v>0</v>
      </c>
      <c r="ID133" s="398">
        <f t="shared" ref="ID133:ID139" si="1829">IFERROR(VLOOKUP(HX108,$B$107:$F$114,5,0),0)</f>
        <v>0</v>
      </c>
      <c r="IE133" s="398">
        <f t="shared" ref="IE133:IE139" si="1830">IFERROR(VLOOKUP(HV108,$D$107:$G$114,4,0),0)</f>
        <v>0</v>
      </c>
      <c r="IF133" s="398">
        <f t="shared" ref="IF133:IF139" si="1831">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32">(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33">IFERROR(VLOOKUP(II108,$B$107:$F$114,5,0),0)</f>
        <v>0</v>
      </c>
      <c r="IQ133" s="398">
        <f t="shared" ref="IQ133:IQ139" si="1834">IFERROR(VLOOKUP(IK108,$B$107:$F$114,5,0),0)</f>
        <v>0</v>
      </c>
      <c r="IR133" s="398">
        <f t="shared" ref="IR133:IR139" si="1835">IFERROR(VLOOKUP(II108,$D$107:$G$114,4,0),0)</f>
        <v>0</v>
      </c>
      <c r="IS133" s="398">
        <f t="shared" ref="IS133:IS139" si="1836">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37">(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38">IFERROR(VLOOKUP(IV108,$B$107:$F$114,5,0),0)</f>
        <v>0</v>
      </c>
      <c r="JD133" s="398">
        <f t="shared" ref="JD133:JD139" si="1839">IFERROR(VLOOKUP(IX108,$B$107:$F$114,5,0),0)</f>
        <v>0</v>
      </c>
      <c r="JE133" s="398">
        <f t="shared" ref="JE133:JE139" si="1840">IFERROR(VLOOKUP(IV108,$D$107:$G$114,4,0),0)</f>
        <v>0</v>
      </c>
      <c r="JF133" s="398">
        <f t="shared" ref="JF133:JF139" si="1841">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42">(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43">IFERROR(VLOOKUP(JI108,$B$107:$F$114,5,0),0)</f>
        <v>0</v>
      </c>
      <c r="JQ133" s="398">
        <f t="shared" ref="JQ133:JQ139" si="1844">IFERROR(VLOOKUP(JK108,$B$107:$F$114,5,0),0)</f>
        <v>0</v>
      </c>
      <c r="JR133" s="398">
        <f t="shared" ref="JR133:JR139" si="1845">IFERROR(VLOOKUP(JI108,$D$107:$G$114,4,0),0)</f>
        <v>0</v>
      </c>
      <c r="JS133" s="398">
        <f t="shared" ref="JS133:JS139" si="1846">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47">(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48">IFERROR(VLOOKUP(JV108,$B$107:$F$114,5,0),0)</f>
        <v>0</v>
      </c>
      <c r="KD133" s="398">
        <f t="shared" ref="KD133:KD139" si="1849">IFERROR(VLOOKUP(JX108,$B$107:$F$114,5,0),0)</f>
        <v>0</v>
      </c>
      <c r="KE133" s="398">
        <f t="shared" ref="KE133:KE139" si="1850">IFERROR(VLOOKUP(JV108,$D$107:$G$114,4,0),0)</f>
        <v>0</v>
      </c>
      <c r="KF133" s="398">
        <f t="shared" ref="KF133:KF139" si="1851">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52">(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53">IFERROR(VLOOKUP(KI108,$B$107:$F$114,5,0),0)</f>
        <v>0</v>
      </c>
      <c r="KQ133" s="398">
        <f t="shared" ref="KQ133:KQ139" si="1854">IFERROR(VLOOKUP(KK108,$B$107:$F$114,5,0),0)</f>
        <v>0</v>
      </c>
      <c r="KR133" s="398">
        <f t="shared" ref="KR133:KR139" si="1855">IFERROR(VLOOKUP(KI108,$D$107:$G$114,4,0),0)</f>
        <v>0</v>
      </c>
      <c r="KS133" s="398">
        <f t="shared" ref="KS133:KS139" si="1856">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57">(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58">IFERROR(VLOOKUP(KV108,$B$107:$F$114,5,0),0)</f>
        <v>0</v>
      </c>
      <c r="LD133" s="398">
        <f t="shared" ref="LD133:LD139" si="1859">IFERROR(VLOOKUP(KX108,$B$107:$F$114,5,0),0)</f>
        <v>0</v>
      </c>
      <c r="LE133" s="398">
        <f t="shared" ref="LE133:LE139" si="1860">IFERROR(VLOOKUP(KV108,$D$107:$G$114,4,0),0)</f>
        <v>0</v>
      </c>
      <c r="LF133" s="398">
        <f t="shared" ref="LF133:LF139" si="1861">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62">(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63">IFERROR(VLOOKUP(LI108,$B$107:$F$114,5,0),0)</f>
        <v>0</v>
      </c>
      <c r="LQ133" s="398">
        <f t="shared" ref="LQ133:LQ139" si="1864">IFERROR(VLOOKUP(LK108,$B$107:$F$114,5,0),0)</f>
        <v>0</v>
      </c>
      <c r="LR133" s="398">
        <f t="shared" ref="LR133:LR139" si="1865">IFERROR(VLOOKUP(LI108,$D$107:$G$114,4,0),0)</f>
        <v>0</v>
      </c>
      <c r="LS133" s="398">
        <f t="shared" ref="LS133:LS139" si="1866">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67">(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68">IFERROR(VLOOKUP(LV108,$B$107:$F$114,5,0),0)</f>
        <v>0</v>
      </c>
      <c r="MD133" s="398">
        <f t="shared" ref="MD133:MD139" si="1869">IFERROR(VLOOKUP(LX108,$B$107:$F$114,5,0),0)</f>
        <v>0</v>
      </c>
      <c r="ME133" s="398">
        <f t="shared" ref="ME133:ME139" si="1870">IFERROR(VLOOKUP(LV108,$D$107:$G$114,4,0),0)</f>
        <v>0</v>
      </c>
      <c r="MF133" s="398">
        <f t="shared" ref="MF133:MF139" si="1871">IFERROR(VLOOKUP(LX108,$D$107:$G$114,4,0),0)</f>
        <v>0</v>
      </c>
      <c r="MG133" s="399"/>
    </row>
    <row r="134" spans="2:345">
      <c r="B134" s="1340"/>
      <c r="C134" s="1341"/>
      <c r="D134" s="1341"/>
      <c r="E134" s="1341"/>
      <c r="F134" s="1341"/>
      <c r="G134" s="1341"/>
      <c r="H134" s="1342"/>
      <c r="I134" s="341"/>
      <c r="J134" s="237"/>
      <c r="K134" s="237"/>
      <c r="L134" s="400"/>
      <c r="M134" s="398"/>
      <c r="N134" s="398"/>
      <c r="O134" s="398">
        <f t="shared" si="1742"/>
        <v>1</v>
      </c>
      <c r="P134" s="398">
        <f t="shared" si="1743"/>
        <v>0</v>
      </c>
      <c r="Q134" s="398">
        <f t="shared" si="1744"/>
        <v>0</v>
      </c>
      <c r="R134" s="398">
        <f t="shared" si="1745"/>
        <v>0</v>
      </c>
      <c r="S134" s="398">
        <f t="shared" si="1746"/>
        <v>0</v>
      </c>
      <c r="T134" s="399"/>
      <c r="V134" s="237"/>
      <c r="W134" s="237"/>
      <c r="X134" s="237"/>
      <c r="Y134" s="400"/>
      <c r="Z134" s="398"/>
      <c r="AA134" s="398"/>
      <c r="AB134" s="398">
        <f t="shared" si="1747"/>
        <v>1</v>
      </c>
      <c r="AC134" s="398">
        <f t="shared" si="1748"/>
        <v>0</v>
      </c>
      <c r="AD134" s="398">
        <f t="shared" si="1749"/>
        <v>0</v>
      </c>
      <c r="AE134" s="398">
        <f t="shared" si="1750"/>
        <v>0</v>
      </c>
      <c r="AF134" s="398">
        <f t="shared" si="1751"/>
        <v>0</v>
      </c>
      <c r="AG134" s="399"/>
      <c r="AI134" s="237"/>
      <c r="AJ134" s="237"/>
      <c r="AK134" s="237"/>
      <c r="AL134" s="400"/>
      <c r="AM134" s="398"/>
      <c r="AN134" s="398"/>
      <c r="AO134" s="398">
        <f t="shared" si="1752"/>
        <v>1</v>
      </c>
      <c r="AP134" s="398">
        <f t="shared" si="1753"/>
        <v>0</v>
      </c>
      <c r="AQ134" s="398">
        <f t="shared" si="1754"/>
        <v>0</v>
      </c>
      <c r="AR134" s="398">
        <f t="shared" si="1755"/>
        <v>0</v>
      </c>
      <c r="AS134" s="398">
        <f t="shared" si="1756"/>
        <v>0</v>
      </c>
      <c r="AT134" s="399"/>
      <c r="AV134" s="237"/>
      <c r="AW134" s="237"/>
      <c r="AX134" s="237"/>
      <c r="AY134" s="400"/>
      <c r="AZ134" s="398"/>
      <c r="BA134" s="398"/>
      <c r="BB134" s="398">
        <f t="shared" si="1757"/>
        <v>1</v>
      </c>
      <c r="BC134" s="398">
        <f t="shared" si="1758"/>
        <v>0</v>
      </c>
      <c r="BD134" s="398">
        <f t="shared" si="1759"/>
        <v>0</v>
      </c>
      <c r="BE134" s="398">
        <f t="shared" si="1760"/>
        <v>0</v>
      </c>
      <c r="BF134" s="398">
        <f t="shared" si="1761"/>
        <v>0</v>
      </c>
      <c r="BG134" s="399"/>
      <c r="BI134" s="237"/>
      <c r="BJ134" s="237"/>
      <c r="BK134" s="237"/>
      <c r="BL134" s="400"/>
      <c r="BM134" s="398"/>
      <c r="BN134" s="398"/>
      <c r="BO134" s="398">
        <f t="shared" si="1762"/>
        <v>1</v>
      </c>
      <c r="BP134" s="398">
        <f t="shared" si="1763"/>
        <v>0</v>
      </c>
      <c r="BQ134" s="398">
        <f t="shared" si="1764"/>
        <v>0</v>
      </c>
      <c r="BR134" s="398">
        <f t="shared" si="1765"/>
        <v>0</v>
      </c>
      <c r="BS134" s="398">
        <f t="shared" si="1766"/>
        <v>0</v>
      </c>
      <c r="BT134" s="399"/>
      <c r="BV134" s="237"/>
      <c r="BW134" s="237"/>
      <c r="BX134" s="237"/>
      <c r="BY134" s="400"/>
      <c r="BZ134" s="398"/>
      <c r="CA134" s="398"/>
      <c r="CB134" s="398">
        <f t="shared" si="1767"/>
        <v>1</v>
      </c>
      <c r="CC134" s="398">
        <f t="shared" si="1768"/>
        <v>0</v>
      </c>
      <c r="CD134" s="398">
        <f t="shared" si="1769"/>
        <v>0</v>
      </c>
      <c r="CE134" s="398">
        <f t="shared" si="1770"/>
        <v>0</v>
      </c>
      <c r="CF134" s="398">
        <f t="shared" si="1771"/>
        <v>0</v>
      </c>
      <c r="CG134" s="399"/>
      <c r="CI134" s="237"/>
      <c r="CJ134" s="237"/>
      <c r="CK134" s="237"/>
      <c r="CL134" s="400"/>
      <c r="CM134" s="398"/>
      <c r="CN134" s="398"/>
      <c r="CO134" s="398">
        <f t="shared" si="1772"/>
        <v>1</v>
      </c>
      <c r="CP134" s="398">
        <f t="shared" si="1773"/>
        <v>0</v>
      </c>
      <c r="CQ134" s="398">
        <f t="shared" si="1774"/>
        <v>0</v>
      </c>
      <c r="CR134" s="398">
        <f t="shared" si="1775"/>
        <v>0</v>
      </c>
      <c r="CS134" s="398">
        <f t="shared" si="1776"/>
        <v>0</v>
      </c>
      <c r="CT134" s="399"/>
      <c r="CV134" s="237"/>
      <c r="CW134" s="237"/>
      <c r="CX134" s="237"/>
      <c r="CY134" s="400"/>
      <c r="CZ134" s="398"/>
      <c r="DA134" s="398"/>
      <c r="DB134" s="398">
        <f t="shared" si="1777"/>
        <v>1</v>
      </c>
      <c r="DC134" s="398">
        <f t="shared" si="1778"/>
        <v>0</v>
      </c>
      <c r="DD134" s="398">
        <f t="shared" si="1779"/>
        <v>0</v>
      </c>
      <c r="DE134" s="398">
        <f t="shared" si="1780"/>
        <v>0</v>
      </c>
      <c r="DF134" s="398">
        <f t="shared" si="1781"/>
        <v>0</v>
      </c>
      <c r="DG134" s="399"/>
      <c r="DI134" s="237"/>
      <c r="DJ134" s="237"/>
      <c r="DK134" s="237"/>
      <c r="DL134" s="400"/>
      <c r="DM134" s="398"/>
      <c r="DN134" s="398"/>
      <c r="DO134" s="398">
        <f t="shared" si="1782"/>
        <v>1</v>
      </c>
      <c r="DP134" s="398">
        <f t="shared" si="1783"/>
        <v>0</v>
      </c>
      <c r="DQ134" s="398">
        <f t="shared" si="1784"/>
        <v>0</v>
      </c>
      <c r="DR134" s="398">
        <f t="shared" si="1785"/>
        <v>0</v>
      </c>
      <c r="DS134" s="398">
        <f t="shared" si="1786"/>
        <v>0</v>
      </c>
      <c r="DT134" s="399"/>
      <c r="DV134" s="237"/>
      <c r="DW134" s="237"/>
      <c r="DX134" s="237"/>
      <c r="DY134" s="400"/>
      <c r="DZ134" s="398"/>
      <c r="EA134" s="398"/>
      <c r="EB134" s="398">
        <f t="shared" si="1787"/>
        <v>1</v>
      </c>
      <c r="EC134" s="398">
        <f t="shared" si="1788"/>
        <v>0</v>
      </c>
      <c r="ED134" s="398">
        <f t="shared" si="1789"/>
        <v>0</v>
      </c>
      <c r="EE134" s="398">
        <f t="shared" si="1790"/>
        <v>0</v>
      </c>
      <c r="EF134" s="398">
        <f t="shared" si="1791"/>
        <v>0</v>
      </c>
      <c r="EG134" s="399"/>
      <c r="EI134" s="237"/>
      <c r="EJ134" s="237"/>
      <c r="EK134" s="237"/>
      <c r="EL134" s="400"/>
      <c r="EM134" s="398"/>
      <c r="EN134" s="398"/>
      <c r="EO134" s="398">
        <f t="shared" si="1792"/>
        <v>1</v>
      </c>
      <c r="EP134" s="398">
        <f t="shared" si="1793"/>
        <v>0</v>
      </c>
      <c r="EQ134" s="398">
        <f t="shared" si="1794"/>
        <v>0</v>
      </c>
      <c r="ER134" s="398">
        <f t="shared" si="1795"/>
        <v>0</v>
      </c>
      <c r="ES134" s="398">
        <f t="shared" si="1796"/>
        <v>0</v>
      </c>
      <c r="ET134" s="399"/>
      <c r="EV134" s="237"/>
      <c r="EW134" s="237"/>
      <c r="EX134" s="237"/>
      <c r="EY134" s="400"/>
      <c r="EZ134" s="398"/>
      <c r="FA134" s="398"/>
      <c r="FB134" s="398">
        <f t="shared" si="1797"/>
        <v>1</v>
      </c>
      <c r="FC134" s="398">
        <f t="shared" si="1798"/>
        <v>0</v>
      </c>
      <c r="FD134" s="398">
        <f t="shared" si="1799"/>
        <v>0</v>
      </c>
      <c r="FE134" s="398">
        <f t="shared" si="1800"/>
        <v>0</v>
      </c>
      <c r="FF134" s="398">
        <f t="shared" si="1801"/>
        <v>0</v>
      </c>
      <c r="FG134" s="399"/>
      <c r="FI134" s="237"/>
      <c r="FJ134" s="237"/>
      <c r="FK134" s="237"/>
      <c r="FL134" s="400"/>
      <c r="FM134" s="398"/>
      <c r="FN134" s="398"/>
      <c r="FO134" s="398">
        <f t="shared" si="1802"/>
        <v>1</v>
      </c>
      <c r="FP134" s="398">
        <f t="shared" si="1803"/>
        <v>0</v>
      </c>
      <c r="FQ134" s="398">
        <f t="shared" si="1804"/>
        <v>0</v>
      </c>
      <c r="FR134" s="398">
        <f t="shared" si="1805"/>
        <v>0</v>
      </c>
      <c r="FS134" s="398">
        <f t="shared" si="1806"/>
        <v>0</v>
      </c>
      <c r="FT134" s="399"/>
      <c r="FV134" s="237"/>
      <c r="FW134" s="237"/>
      <c r="FX134" s="237"/>
      <c r="FY134" s="400"/>
      <c r="FZ134" s="398"/>
      <c r="GA134" s="398"/>
      <c r="GB134" s="398">
        <f t="shared" si="1807"/>
        <v>1</v>
      </c>
      <c r="GC134" s="398">
        <f t="shared" si="1808"/>
        <v>0</v>
      </c>
      <c r="GD134" s="398">
        <f t="shared" si="1809"/>
        <v>0</v>
      </c>
      <c r="GE134" s="398">
        <f t="shared" si="1810"/>
        <v>0</v>
      </c>
      <c r="GF134" s="398">
        <f t="shared" si="1811"/>
        <v>0</v>
      </c>
      <c r="GG134" s="399"/>
      <c r="GI134" s="237"/>
      <c r="GJ134" s="237"/>
      <c r="GK134" s="237"/>
      <c r="GL134" s="400"/>
      <c r="GM134" s="398"/>
      <c r="GN134" s="398"/>
      <c r="GO134" s="398">
        <f t="shared" si="1812"/>
        <v>1</v>
      </c>
      <c r="GP134" s="398">
        <f t="shared" si="1813"/>
        <v>0</v>
      </c>
      <c r="GQ134" s="398">
        <f t="shared" si="1814"/>
        <v>0</v>
      </c>
      <c r="GR134" s="398">
        <f t="shared" si="1815"/>
        <v>0</v>
      </c>
      <c r="GS134" s="398">
        <f t="shared" si="1816"/>
        <v>0</v>
      </c>
      <c r="GT134" s="399"/>
      <c r="GV134" s="237"/>
      <c r="GW134" s="237"/>
      <c r="GX134" s="237"/>
      <c r="GY134" s="400"/>
      <c r="GZ134" s="398"/>
      <c r="HA134" s="398"/>
      <c r="HB134" s="398">
        <f t="shared" si="1817"/>
        <v>1</v>
      </c>
      <c r="HC134" s="398">
        <f t="shared" si="1818"/>
        <v>0</v>
      </c>
      <c r="HD134" s="398">
        <f t="shared" si="1819"/>
        <v>0</v>
      </c>
      <c r="HE134" s="398">
        <f t="shared" si="1820"/>
        <v>0</v>
      </c>
      <c r="HF134" s="398">
        <f t="shared" si="1821"/>
        <v>0</v>
      </c>
      <c r="HG134" s="399"/>
      <c r="HI134" s="237"/>
      <c r="HJ134" s="237"/>
      <c r="HK134" s="237"/>
      <c r="HL134" s="400"/>
      <c r="HM134" s="398"/>
      <c r="HN134" s="398"/>
      <c r="HO134" s="398">
        <f t="shared" si="1822"/>
        <v>1</v>
      </c>
      <c r="HP134" s="398">
        <f t="shared" si="1823"/>
        <v>0</v>
      </c>
      <c r="HQ134" s="398">
        <f t="shared" si="1824"/>
        <v>0</v>
      </c>
      <c r="HR134" s="398">
        <f t="shared" si="1825"/>
        <v>0</v>
      </c>
      <c r="HS134" s="398">
        <f t="shared" si="1826"/>
        <v>0</v>
      </c>
      <c r="HT134" s="399"/>
      <c r="HV134" s="237"/>
      <c r="HW134" s="237"/>
      <c r="HX134" s="237"/>
      <c r="HY134" s="400"/>
      <c r="HZ134" s="398"/>
      <c r="IA134" s="398"/>
      <c r="IB134" s="398">
        <f t="shared" si="1827"/>
        <v>1</v>
      </c>
      <c r="IC134" s="398">
        <f t="shared" si="1828"/>
        <v>0</v>
      </c>
      <c r="ID134" s="398">
        <f t="shared" si="1829"/>
        <v>0</v>
      </c>
      <c r="IE134" s="398">
        <f t="shared" si="1830"/>
        <v>0</v>
      </c>
      <c r="IF134" s="398">
        <f t="shared" si="1831"/>
        <v>0</v>
      </c>
      <c r="IG134" s="399"/>
      <c r="II134" s="237"/>
      <c r="IJ134" s="237"/>
      <c r="IK134" s="237"/>
      <c r="IL134" s="400"/>
      <c r="IM134" s="398"/>
      <c r="IN134" s="398"/>
      <c r="IO134" s="398">
        <f t="shared" si="1832"/>
        <v>1</v>
      </c>
      <c r="IP134" s="398">
        <f t="shared" si="1833"/>
        <v>0</v>
      </c>
      <c r="IQ134" s="398">
        <f t="shared" si="1834"/>
        <v>0</v>
      </c>
      <c r="IR134" s="398">
        <f t="shared" si="1835"/>
        <v>0</v>
      </c>
      <c r="IS134" s="398">
        <f t="shared" si="1836"/>
        <v>0</v>
      </c>
      <c r="IT134" s="399"/>
      <c r="IV134" s="237"/>
      <c r="IW134" s="237"/>
      <c r="IX134" s="237"/>
      <c r="IY134" s="400"/>
      <c r="IZ134" s="398"/>
      <c r="JA134" s="398"/>
      <c r="JB134" s="398">
        <f t="shared" si="1837"/>
        <v>1</v>
      </c>
      <c r="JC134" s="398">
        <f t="shared" si="1838"/>
        <v>0</v>
      </c>
      <c r="JD134" s="398">
        <f t="shared" si="1839"/>
        <v>0</v>
      </c>
      <c r="JE134" s="398">
        <f t="shared" si="1840"/>
        <v>0</v>
      </c>
      <c r="JF134" s="398">
        <f t="shared" si="1841"/>
        <v>0</v>
      </c>
      <c r="JG134" s="399"/>
      <c r="JI134" s="237"/>
      <c r="JJ134" s="237"/>
      <c r="JK134" s="237"/>
      <c r="JL134" s="400"/>
      <c r="JM134" s="398"/>
      <c r="JN134" s="398"/>
      <c r="JO134" s="398">
        <f t="shared" si="1842"/>
        <v>1</v>
      </c>
      <c r="JP134" s="398">
        <f t="shared" si="1843"/>
        <v>0</v>
      </c>
      <c r="JQ134" s="398">
        <f t="shared" si="1844"/>
        <v>0</v>
      </c>
      <c r="JR134" s="398">
        <f t="shared" si="1845"/>
        <v>0</v>
      </c>
      <c r="JS134" s="398">
        <f t="shared" si="1846"/>
        <v>0</v>
      </c>
      <c r="JT134" s="399"/>
      <c r="JV134" s="237"/>
      <c r="JW134" s="237"/>
      <c r="JX134" s="237"/>
      <c r="JY134" s="400"/>
      <c r="JZ134" s="398"/>
      <c r="KA134" s="398"/>
      <c r="KB134" s="398">
        <f t="shared" si="1847"/>
        <v>1</v>
      </c>
      <c r="KC134" s="398">
        <f t="shared" si="1848"/>
        <v>0</v>
      </c>
      <c r="KD134" s="398">
        <f t="shared" si="1849"/>
        <v>0</v>
      </c>
      <c r="KE134" s="398">
        <f t="shared" si="1850"/>
        <v>0</v>
      </c>
      <c r="KF134" s="398">
        <f t="shared" si="1851"/>
        <v>0</v>
      </c>
      <c r="KG134" s="399"/>
      <c r="KI134" s="237"/>
      <c r="KJ134" s="237"/>
      <c r="KK134" s="237"/>
      <c r="KL134" s="400"/>
      <c r="KM134" s="398"/>
      <c r="KN134" s="398"/>
      <c r="KO134" s="398">
        <f t="shared" si="1852"/>
        <v>1</v>
      </c>
      <c r="KP134" s="398">
        <f t="shared" si="1853"/>
        <v>0</v>
      </c>
      <c r="KQ134" s="398">
        <f t="shared" si="1854"/>
        <v>0</v>
      </c>
      <c r="KR134" s="398">
        <f t="shared" si="1855"/>
        <v>0</v>
      </c>
      <c r="KS134" s="398">
        <f t="shared" si="1856"/>
        <v>0</v>
      </c>
      <c r="KT134" s="399"/>
      <c r="KV134" s="237"/>
      <c r="KW134" s="237"/>
      <c r="KX134" s="237"/>
      <c r="KY134" s="400"/>
      <c r="KZ134" s="398"/>
      <c r="LA134" s="398"/>
      <c r="LB134" s="398">
        <f t="shared" si="1857"/>
        <v>1</v>
      </c>
      <c r="LC134" s="398">
        <f t="shared" si="1858"/>
        <v>0</v>
      </c>
      <c r="LD134" s="398">
        <f t="shared" si="1859"/>
        <v>0</v>
      </c>
      <c r="LE134" s="398">
        <f t="shared" si="1860"/>
        <v>0</v>
      </c>
      <c r="LF134" s="398">
        <f t="shared" si="1861"/>
        <v>0</v>
      </c>
      <c r="LG134" s="399"/>
      <c r="LI134" s="237"/>
      <c r="LJ134" s="237"/>
      <c r="LK134" s="237"/>
      <c r="LL134" s="400"/>
      <c r="LM134" s="398"/>
      <c r="LN134" s="398"/>
      <c r="LO134" s="398">
        <f t="shared" si="1862"/>
        <v>1</v>
      </c>
      <c r="LP134" s="398">
        <f t="shared" si="1863"/>
        <v>0</v>
      </c>
      <c r="LQ134" s="398">
        <f t="shared" si="1864"/>
        <v>0</v>
      </c>
      <c r="LR134" s="398">
        <f t="shared" si="1865"/>
        <v>0</v>
      </c>
      <c r="LS134" s="398">
        <f t="shared" si="1866"/>
        <v>0</v>
      </c>
      <c r="LT134" s="399"/>
      <c r="LV134" s="237"/>
      <c r="LW134" s="237"/>
      <c r="LX134" s="237"/>
      <c r="LY134" s="400"/>
      <c r="LZ134" s="398"/>
      <c r="MA134" s="398"/>
      <c r="MB134" s="398">
        <f t="shared" si="1867"/>
        <v>1</v>
      </c>
      <c r="MC134" s="398">
        <f t="shared" si="1868"/>
        <v>0</v>
      </c>
      <c r="MD134" s="398">
        <f t="shared" si="1869"/>
        <v>0</v>
      </c>
      <c r="ME134" s="398">
        <f t="shared" si="1870"/>
        <v>0</v>
      </c>
      <c r="MF134" s="398">
        <f t="shared" si="1871"/>
        <v>0</v>
      </c>
      <c r="MG134" s="399"/>
    </row>
    <row r="135" spans="2:345">
      <c r="B135" s="1340"/>
      <c r="C135" s="1341"/>
      <c r="D135" s="1341"/>
      <c r="E135" s="1341"/>
      <c r="F135" s="1341"/>
      <c r="G135" s="1341"/>
      <c r="H135" s="1342"/>
      <c r="I135" s="341"/>
      <c r="J135" s="237"/>
      <c r="K135" s="237"/>
      <c r="L135" s="400"/>
      <c r="M135" s="398"/>
      <c r="N135" s="398"/>
      <c r="O135" s="398">
        <f t="shared" si="1742"/>
        <v>1</v>
      </c>
      <c r="P135" s="398">
        <f t="shared" si="1743"/>
        <v>0</v>
      </c>
      <c r="Q135" s="398">
        <f t="shared" si="1744"/>
        <v>0</v>
      </c>
      <c r="R135" s="398">
        <f t="shared" si="1745"/>
        <v>0</v>
      </c>
      <c r="S135" s="398">
        <f t="shared" si="1746"/>
        <v>0</v>
      </c>
      <c r="T135" s="399"/>
      <c r="V135" s="237"/>
      <c r="W135" s="237"/>
      <c r="X135" s="237"/>
      <c r="Y135" s="400"/>
      <c r="Z135" s="398"/>
      <c r="AA135" s="398"/>
      <c r="AB135" s="398">
        <f t="shared" si="1747"/>
        <v>1</v>
      </c>
      <c r="AC135" s="398">
        <f t="shared" si="1748"/>
        <v>0</v>
      </c>
      <c r="AD135" s="398">
        <f t="shared" si="1749"/>
        <v>0</v>
      </c>
      <c r="AE135" s="398">
        <f t="shared" si="1750"/>
        <v>0</v>
      </c>
      <c r="AF135" s="398">
        <f t="shared" si="1751"/>
        <v>0</v>
      </c>
      <c r="AG135" s="399"/>
      <c r="AI135" s="237"/>
      <c r="AJ135" s="237"/>
      <c r="AK135" s="237"/>
      <c r="AL135" s="400"/>
      <c r="AM135" s="398"/>
      <c r="AN135" s="398"/>
      <c r="AO135" s="398">
        <f t="shared" si="1752"/>
        <v>1</v>
      </c>
      <c r="AP135" s="398">
        <f t="shared" si="1753"/>
        <v>0</v>
      </c>
      <c r="AQ135" s="398">
        <f t="shared" si="1754"/>
        <v>0</v>
      </c>
      <c r="AR135" s="398">
        <f t="shared" si="1755"/>
        <v>0</v>
      </c>
      <c r="AS135" s="398">
        <f t="shared" si="1756"/>
        <v>0</v>
      </c>
      <c r="AT135" s="399"/>
      <c r="AV135" s="237"/>
      <c r="AW135" s="237"/>
      <c r="AX135" s="237"/>
      <c r="AY135" s="400"/>
      <c r="AZ135" s="398"/>
      <c r="BA135" s="398"/>
      <c r="BB135" s="398">
        <f t="shared" si="1757"/>
        <v>1</v>
      </c>
      <c r="BC135" s="398">
        <f t="shared" si="1758"/>
        <v>0</v>
      </c>
      <c r="BD135" s="398">
        <f t="shared" si="1759"/>
        <v>0</v>
      </c>
      <c r="BE135" s="398">
        <f t="shared" si="1760"/>
        <v>0</v>
      </c>
      <c r="BF135" s="398">
        <f t="shared" si="1761"/>
        <v>0</v>
      </c>
      <c r="BG135" s="399"/>
      <c r="BI135" s="237"/>
      <c r="BJ135" s="237"/>
      <c r="BK135" s="237"/>
      <c r="BL135" s="400"/>
      <c r="BM135" s="398"/>
      <c r="BN135" s="398"/>
      <c r="BO135" s="398">
        <f t="shared" si="1762"/>
        <v>1</v>
      </c>
      <c r="BP135" s="398">
        <f t="shared" si="1763"/>
        <v>0</v>
      </c>
      <c r="BQ135" s="398">
        <f t="shared" si="1764"/>
        <v>0</v>
      </c>
      <c r="BR135" s="398">
        <f t="shared" si="1765"/>
        <v>0</v>
      </c>
      <c r="BS135" s="398">
        <f t="shared" si="1766"/>
        <v>0</v>
      </c>
      <c r="BT135" s="399"/>
      <c r="BV135" s="237"/>
      <c r="BW135" s="237"/>
      <c r="BX135" s="237"/>
      <c r="BY135" s="400"/>
      <c r="BZ135" s="398"/>
      <c r="CA135" s="398"/>
      <c r="CB135" s="398">
        <f t="shared" si="1767"/>
        <v>1</v>
      </c>
      <c r="CC135" s="398">
        <f t="shared" si="1768"/>
        <v>0</v>
      </c>
      <c r="CD135" s="398">
        <f t="shared" si="1769"/>
        <v>0</v>
      </c>
      <c r="CE135" s="398">
        <f t="shared" si="1770"/>
        <v>0</v>
      </c>
      <c r="CF135" s="398">
        <f t="shared" si="1771"/>
        <v>0</v>
      </c>
      <c r="CG135" s="399"/>
      <c r="CI135" s="237"/>
      <c r="CJ135" s="237"/>
      <c r="CK135" s="237"/>
      <c r="CL135" s="400"/>
      <c r="CM135" s="398"/>
      <c r="CN135" s="398"/>
      <c r="CO135" s="398">
        <f t="shared" si="1772"/>
        <v>1</v>
      </c>
      <c r="CP135" s="398">
        <f t="shared" si="1773"/>
        <v>0</v>
      </c>
      <c r="CQ135" s="398">
        <f t="shared" si="1774"/>
        <v>0</v>
      </c>
      <c r="CR135" s="398">
        <f t="shared" si="1775"/>
        <v>0</v>
      </c>
      <c r="CS135" s="398">
        <f t="shared" si="1776"/>
        <v>0</v>
      </c>
      <c r="CT135" s="399"/>
      <c r="CV135" s="237"/>
      <c r="CW135" s="237"/>
      <c r="CX135" s="237"/>
      <c r="CY135" s="400"/>
      <c r="CZ135" s="398"/>
      <c r="DA135" s="398"/>
      <c r="DB135" s="398">
        <f t="shared" si="1777"/>
        <v>1</v>
      </c>
      <c r="DC135" s="398">
        <f t="shared" si="1778"/>
        <v>0</v>
      </c>
      <c r="DD135" s="398">
        <f t="shared" si="1779"/>
        <v>0</v>
      </c>
      <c r="DE135" s="398">
        <f t="shared" si="1780"/>
        <v>0</v>
      </c>
      <c r="DF135" s="398">
        <f t="shared" si="1781"/>
        <v>0</v>
      </c>
      <c r="DG135" s="399"/>
      <c r="DI135" s="237"/>
      <c r="DJ135" s="237"/>
      <c r="DK135" s="237"/>
      <c r="DL135" s="400"/>
      <c r="DM135" s="398"/>
      <c r="DN135" s="398"/>
      <c r="DO135" s="398">
        <f t="shared" si="1782"/>
        <v>1</v>
      </c>
      <c r="DP135" s="398">
        <f t="shared" si="1783"/>
        <v>0</v>
      </c>
      <c r="DQ135" s="398">
        <f t="shared" si="1784"/>
        <v>0</v>
      </c>
      <c r="DR135" s="398">
        <f t="shared" si="1785"/>
        <v>0</v>
      </c>
      <c r="DS135" s="398">
        <f t="shared" si="1786"/>
        <v>0</v>
      </c>
      <c r="DT135" s="399"/>
      <c r="DV135" s="237"/>
      <c r="DW135" s="237"/>
      <c r="DX135" s="237"/>
      <c r="DY135" s="400"/>
      <c r="DZ135" s="398"/>
      <c r="EA135" s="398"/>
      <c r="EB135" s="398">
        <f t="shared" si="1787"/>
        <v>1</v>
      </c>
      <c r="EC135" s="398">
        <f t="shared" si="1788"/>
        <v>0</v>
      </c>
      <c r="ED135" s="398">
        <f t="shared" si="1789"/>
        <v>0</v>
      </c>
      <c r="EE135" s="398">
        <f t="shared" si="1790"/>
        <v>0</v>
      </c>
      <c r="EF135" s="398">
        <f t="shared" si="1791"/>
        <v>0</v>
      </c>
      <c r="EG135" s="399"/>
      <c r="EI135" s="237"/>
      <c r="EJ135" s="237"/>
      <c r="EK135" s="237"/>
      <c r="EL135" s="400"/>
      <c r="EM135" s="398"/>
      <c r="EN135" s="398"/>
      <c r="EO135" s="398">
        <f t="shared" si="1792"/>
        <v>1</v>
      </c>
      <c r="EP135" s="398">
        <f t="shared" si="1793"/>
        <v>0</v>
      </c>
      <c r="EQ135" s="398">
        <f t="shared" si="1794"/>
        <v>0</v>
      </c>
      <c r="ER135" s="398">
        <f t="shared" si="1795"/>
        <v>0</v>
      </c>
      <c r="ES135" s="398">
        <f t="shared" si="1796"/>
        <v>0</v>
      </c>
      <c r="ET135" s="399"/>
      <c r="EV135" s="237"/>
      <c r="EW135" s="237"/>
      <c r="EX135" s="237"/>
      <c r="EY135" s="400"/>
      <c r="EZ135" s="398"/>
      <c r="FA135" s="398"/>
      <c r="FB135" s="398">
        <f t="shared" si="1797"/>
        <v>1</v>
      </c>
      <c r="FC135" s="398">
        <f t="shared" si="1798"/>
        <v>0</v>
      </c>
      <c r="FD135" s="398">
        <f t="shared" si="1799"/>
        <v>0</v>
      </c>
      <c r="FE135" s="398">
        <f t="shared" si="1800"/>
        <v>0</v>
      </c>
      <c r="FF135" s="398">
        <f t="shared" si="1801"/>
        <v>0</v>
      </c>
      <c r="FG135" s="399"/>
      <c r="FI135" s="237"/>
      <c r="FJ135" s="237"/>
      <c r="FK135" s="237"/>
      <c r="FL135" s="400"/>
      <c r="FM135" s="398"/>
      <c r="FN135" s="398"/>
      <c r="FO135" s="398">
        <f t="shared" si="1802"/>
        <v>1</v>
      </c>
      <c r="FP135" s="398">
        <f t="shared" si="1803"/>
        <v>0</v>
      </c>
      <c r="FQ135" s="398">
        <f t="shared" si="1804"/>
        <v>0</v>
      </c>
      <c r="FR135" s="398">
        <f t="shared" si="1805"/>
        <v>0</v>
      </c>
      <c r="FS135" s="398">
        <f t="shared" si="1806"/>
        <v>0</v>
      </c>
      <c r="FT135" s="399"/>
      <c r="FV135" s="237"/>
      <c r="FW135" s="237"/>
      <c r="FX135" s="237"/>
      <c r="FY135" s="400"/>
      <c r="FZ135" s="398"/>
      <c r="GA135" s="398"/>
      <c r="GB135" s="398">
        <f t="shared" si="1807"/>
        <v>1</v>
      </c>
      <c r="GC135" s="398">
        <f t="shared" si="1808"/>
        <v>0</v>
      </c>
      <c r="GD135" s="398">
        <f t="shared" si="1809"/>
        <v>0</v>
      </c>
      <c r="GE135" s="398">
        <f t="shared" si="1810"/>
        <v>0</v>
      </c>
      <c r="GF135" s="398">
        <f t="shared" si="1811"/>
        <v>0</v>
      </c>
      <c r="GG135" s="399"/>
      <c r="GI135" s="237"/>
      <c r="GJ135" s="237"/>
      <c r="GK135" s="237"/>
      <c r="GL135" s="400"/>
      <c r="GM135" s="398"/>
      <c r="GN135" s="398"/>
      <c r="GO135" s="398">
        <f t="shared" si="1812"/>
        <v>1</v>
      </c>
      <c r="GP135" s="398">
        <f t="shared" si="1813"/>
        <v>0</v>
      </c>
      <c r="GQ135" s="398">
        <f t="shared" si="1814"/>
        <v>0</v>
      </c>
      <c r="GR135" s="398">
        <f t="shared" si="1815"/>
        <v>0</v>
      </c>
      <c r="GS135" s="398">
        <f t="shared" si="1816"/>
        <v>0</v>
      </c>
      <c r="GT135" s="399"/>
      <c r="GV135" s="237"/>
      <c r="GW135" s="237"/>
      <c r="GX135" s="237"/>
      <c r="GY135" s="400"/>
      <c r="GZ135" s="398"/>
      <c r="HA135" s="398"/>
      <c r="HB135" s="398">
        <f t="shared" si="1817"/>
        <v>1</v>
      </c>
      <c r="HC135" s="398">
        <f t="shared" si="1818"/>
        <v>0</v>
      </c>
      <c r="HD135" s="398">
        <f t="shared" si="1819"/>
        <v>0</v>
      </c>
      <c r="HE135" s="398">
        <f t="shared" si="1820"/>
        <v>0</v>
      </c>
      <c r="HF135" s="398">
        <f t="shared" si="1821"/>
        <v>0</v>
      </c>
      <c r="HG135" s="399"/>
      <c r="HI135" s="237"/>
      <c r="HJ135" s="237"/>
      <c r="HK135" s="237"/>
      <c r="HL135" s="400"/>
      <c r="HM135" s="398"/>
      <c r="HN135" s="398"/>
      <c r="HO135" s="398">
        <f t="shared" si="1822"/>
        <v>1</v>
      </c>
      <c r="HP135" s="398">
        <f t="shared" si="1823"/>
        <v>0</v>
      </c>
      <c r="HQ135" s="398">
        <f t="shared" si="1824"/>
        <v>0</v>
      </c>
      <c r="HR135" s="398">
        <f t="shared" si="1825"/>
        <v>0</v>
      </c>
      <c r="HS135" s="398">
        <f t="shared" si="1826"/>
        <v>0</v>
      </c>
      <c r="HT135" s="399"/>
      <c r="HV135" s="237"/>
      <c r="HW135" s="237"/>
      <c r="HX135" s="237"/>
      <c r="HY135" s="400"/>
      <c r="HZ135" s="398"/>
      <c r="IA135" s="398"/>
      <c r="IB135" s="398">
        <f t="shared" si="1827"/>
        <v>1</v>
      </c>
      <c r="IC135" s="398">
        <f t="shared" si="1828"/>
        <v>0</v>
      </c>
      <c r="ID135" s="398">
        <f t="shared" si="1829"/>
        <v>0</v>
      </c>
      <c r="IE135" s="398">
        <f t="shared" si="1830"/>
        <v>0</v>
      </c>
      <c r="IF135" s="398">
        <f t="shared" si="1831"/>
        <v>0</v>
      </c>
      <c r="IG135" s="399"/>
      <c r="II135" s="237"/>
      <c r="IJ135" s="237"/>
      <c r="IK135" s="237"/>
      <c r="IL135" s="400"/>
      <c r="IM135" s="398"/>
      <c r="IN135" s="398"/>
      <c r="IO135" s="398">
        <f t="shared" si="1832"/>
        <v>1</v>
      </c>
      <c r="IP135" s="398">
        <f t="shared" si="1833"/>
        <v>0</v>
      </c>
      <c r="IQ135" s="398">
        <f t="shared" si="1834"/>
        <v>0</v>
      </c>
      <c r="IR135" s="398">
        <f t="shared" si="1835"/>
        <v>0</v>
      </c>
      <c r="IS135" s="398">
        <f t="shared" si="1836"/>
        <v>0</v>
      </c>
      <c r="IT135" s="399"/>
      <c r="IV135" s="237"/>
      <c r="IW135" s="237"/>
      <c r="IX135" s="237"/>
      <c r="IY135" s="400"/>
      <c r="IZ135" s="398"/>
      <c r="JA135" s="398"/>
      <c r="JB135" s="398">
        <f t="shared" si="1837"/>
        <v>1</v>
      </c>
      <c r="JC135" s="398">
        <f t="shared" si="1838"/>
        <v>0</v>
      </c>
      <c r="JD135" s="398">
        <f t="shared" si="1839"/>
        <v>0</v>
      </c>
      <c r="JE135" s="398">
        <f t="shared" si="1840"/>
        <v>0</v>
      </c>
      <c r="JF135" s="398">
        <f t="shared" si="1841"/>
        <v>0</v>
      </c>
      <c r="JG135" s="399"/>
      <c r="JI135" s="237"/>
      <c r="JJ135" s="237"/>
      <c r="JK135" s="237"/>
      <c r="JL135" s="400"/>
      <c r="JM135" s="398"/>
      <c r="JN135" s="398"/>
      <c r="JO135" s="398">
        <f t="shared" si="1842"/>
        <v>1</v>
      </c>
      <c r="JP135" s="398">
        <f t="shared" si="1843"/>
        <v>0</v>
      </c>
      <c r="JQ135" s="398">
        <f t="shared" si="1844"/>
        <v>0</v>
      </c>
      <c r="JR135" s="398">
        <f t="shared" si="1845"/>
        <v>0</v>
      </c>
      <c r="JS135" s="398">
        <f t="shared" si="1846"/>
        <v>0</v>
      </c>
      <c r="JT135" s="399"/>
      <c r="JV135" s="237"/>
      <c r="JW135" s="237"/>
      <c r="JX135" s="237"/>
      <c r="JY135" s="400"/>
      <c r="JZ135" s="398"/>
      <c r="KA135" s="398"/>
      <c r="KB135" s="398">
        <f t="shared" si="1847"/>
        <v>1</v>
      </c>
      <c r="KC135" s="398">
        <f t="shared" si="1848"/>
        <v>0</v>
      </c>
      <c r="KD135" s="398">
        <f t="shared" si="1849"/>
        <v>0</v>
      </c>
      <c r="KE135" s="398">
        <f t="shared" si="1850"/>
        <v>0</v>
      </c>
      <c r="KF135" s="398">
        <f t="shared" si="1851"/>
        <v>0</v>
      </c>
      <c r="KG135" s="399"/>
      <c r="KI135" s="237"/>
      <c r="KJ135" s="237"/>
      <c r="KK135" s="237"/>
      <c r="KL135" s="400"/>
      <c r="KM135" s="398"/>
      <c r="KN135" s="398"/>
      <c r="KO135" s="398">
        <f t="shared" si="1852"/>
        <v>1</v>
      </c>
      <c r="KP135" s="398">
        <f t="shared" si="1853"/>
        <v>0</v>
      </c>
      <c r="KQ135" s="398">
        <f t="shared" si="1854"/>
        <v>0</v>
      </c>
      <c r="KR135" s="398">
        <f t="shared" si="1855"/>
        <v>0</v>
      </c>
      <c r="KS135" s="398">
        <f t="shared" si="1856"/>
        <v>0</v>
      </c>
      <c r="KT135" s="399"/>
      <c r="KV135" s="237"/>
      <c r="KW135" s="237"/>
      <c r="KX135" s="237"/>
      <c r="KY135" s="400"/>
      <c r="KZ135" s="398"/>
      <c r="LA135" s="398"/>
      <c r="LB135" s="398">
        <f t="shared" si="1857"/>
        <v>1</v>
      </c>
      <c r="LC135" s="398">
        <f t="shared" si="1858"/>
        <v>0</v>
      </c>
      <c r="LD135" s="398">
        <f t="shared" si="1859"/>
        <v>0</v>
      </c>
      <c r="LE135" s="398">
        <f t="shared" si="1860"/>
        <v>0</v>
      </c>
      <c r="LF135" s="398">
        <f t="shared" si="1861"/>
        <v>0</v>
      </c>
      <c r="LG135" s="399"/>
      <c r="LI135" s="237"/>
      <c r="LJ135" s="237"/>
      <c r="LK135" s="237"/>
      <c r="LL135" s="400"/>
      <c r="LM135" s="398"/>
      <c r="LN135" s="398"/>
      <c r="LO135" s="398">
        <f t="shared" si="1862"/>
        <v>1</v>
      </c>
      <c r="LP135" s="398">
        <f t="shared" si="1863"/>
        <v>0</v>
      </c>
      <c r="LQ135" s="398">
        <f t="shared" si="1864"/>
        <v>0</v>
      </c>
      <c r="LR135" s="398">
        <f t="shared" si="1865"/>
        <v>0</v>
      </c>
      <c r="LS135" s="398">
        <f t="shared" si="1866"/>
        <v>0</v>
      </c>
      <c r="LT135" s="399"/>
      <c r="LV135" s="237"/>
      <c r="LW135" s="237"/>
      <c r="LX135" s="237"/>
      <c r="LY135" s="400"/>
      <c r="LZ135" s="398"/>
      <c r="MA135" s="398"/>
      <c r="MB135" s="398">
        <f t="shared" si="1867"/>
        <v>1</v>
      </c>
      <c r="MC135" s="398">
        <f t="shared" si="1868"/>
        <v>0</v>
      </c>
      <c r="MD135" s="398">
        <f t="shared" si="1869"/>
        <v>0</v>
      </c>
      <c r="ME135" s="398">
        <f t="shared" si="1870"/>
        <v>0</v>
      </c>
      <c r="MF135" s="398">
        <f t="shared" si="1871"/>
        <v>0</v>
      </c>
      <c r="MG135" s="399"/>
    </row>
    <row r="136" spans="2:345" ht="15.75" customHeight="1">
      <c r="B136" s="1340" t="str">
        <f>Language!$E$244</f>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C136" s="1341"/>
      <c r="D136" s="1341"/>
      <c r="E136" s="1341"/>
      <c r="F136" s="1341"/>
      <c r="G136" s="1341"/>
      <c r="H136" s="1342"/>
      <c r="I136" s="341"/>
      <c r="J136" s="237"/>
      <c r="K136" s="237"/>
      <c r="L136" s="400"/>
      <c r="M136" s="398"/>
      <c r="N136" s="398"/>
      <c r="O136" s="398">
        <f t="shared" si="1742"/>
        <v>1</v>
      </c>
      <c r="P136" s="398">
        <f t="shared" si="1743"/>
        <v>0</v>
      </c>
      <c r="Q136" s="398">
        <f t="shared" si="1744"/>
        <v>0</v>
      </c>
      <c r="R136" s="398">
        <f t="shared" si="1745"/>
        <v>0</v>
      </c>
      <c r="S136" s="398">
        <f t="shared" si="1746"/>
        <v>0</v>
      </c>
      <c r="T136" s="399"/>
      <c r="V136" s="237"/>
      <c r="W136" s="237"/>
      <c r="X136" s="237"/>
      <c r="Y136" s="400"/>
      <c r="Z136" s="398"/>
      <c r="AA136" s="398"/>
      <c r="AB136" s="398">
        <f t="shared" si="1747"/>
        <v>1</v>
      </c>
      <c r="AC136" s="398">
        <f t="shared" si="1748"/>
        <v>0</v>
      </c>
      <c r="AD136" s="398">
        <f t="shared" si="1749"/>
        <v>0</v>
      </c>
      <c r="AE136" s="398">
        <f t="shared" si="1750"/>
        <v>0</v>
      </c>
      <c r="AF136" s="398">
        <f t="shared" si="1751"/>
        <v>0</v>
      </c>
      <c r="AG136" s="399"/>
      <c r="AI136" s="237"/>
      <c r="AJ136" s="237"/>
      <c r="AK136" s="237"/>
      <c r="AL136" s="400"/>
      <c r="AM136" s="398"/>
      <c r="AN136" s="398"/>
      <c r="AO136" s="398">
        <f t="shared" si="1752"/>
        <v>1</v>
      </c>
      <c r="AP136" s="398">
        <f t="shared" si="1753"/>
        <v>0</v>
      </c>
      <c r="AQ136" s="398">
        <f t="shared" si="1754"/>
        <v>0</v>
      </c>
      <c r="AR136" s="398">
        <f t="shared" si="1755"/>
        <v>0</v>
      </c>
      <c r="AS136" s="398">
        <f t="shared" si="1756"/>
        <v>0</v>
      </c>
      <c r="AT136" s="399"/>
      <c r="AV136" s="237"/>
      <c r="AW136" s="237"/>
      <c r="AX136" s="237"/>
      <c r="AY136" s="400"/>
      <c r="AZ136" s="398"/>
      <c r="BA136" s="398"/>
      <c r="BB136" s="398">
        <f t="shared" si="1757"/>
        <v>1</v>
      </c>
      <c r="BC136" s="398">
        <f t="shared" si="1758"/>
        <v>0</v>
      </c>
      <c r="BD136" s="398">
        <f t="shared" si="1759"/>
        <v>0</v>
      </c>
      <c r="BE136" s="398">
        <f t="shared" si="1760"/>
        <v>0</v>
      </c>
      <c r="BF136" s="398">
        <f t="shared" si="1761"/>
        <v>0</v>
      </c>
      <c r="BG136" s="399"/>
      <c r="BI136" s="237"/>
      <c r="BJ136" s="237"/>
      <c r="BK136" s="237"/>
      <c r="BL136" s="400"/>
      <c r="BM136" s="398"/>
      <c r="BN136" s="398"/>
      <c r="BO136" s="398">
        <f t="shared" si="1762"/>
        <v>1</v>
      </c>
      <c r="BP136" s="398">
        <f t="shared" si="1763"/>
        <v>0</v>
      </c>
      <c r="BQ136" s="398">
        <f t="shared" si="1764"/>
        <v>0</v>
      </c>
      <c r="BR136" s="398">
        <f t="shared" si="1765"/>
        <v>0</v>
      </c>
      <c r="BS136" s="398">
        <f t="shared" si="1766"/>
        <v>0</v>
      </c>
      <c r="BT136" s="399"/>
      <c r="BV136" s="237"/>
      <c r="BW136" s="237"/>
      <c r="BX136" s="237"/>
      <c r="BY136" s="400"/>
      <c r="BZ136" s="398"/>
      <c r="CA136" s="398"/>
      <c r="CB136" s="398">
        <f t="shared" si="1767"/>
        <v>1</v>
      </c>
      <c r="CC136" s="398">
        <f t="shared" si="1768"/>
        <v>0</v>
      </c>
      <c r="CD136" s="398">
        <f t="shared" si="1769"/>
        <v>0</v>
      </c>
      <c r="CE136" s="398">
        <f t="shared" si="1770"/>
        <v>0</v>
      </c>
      <c r="CF136" s="398">
        <f t="shared" si="1771"/>
        <v>0</v>
      </c>
      <c r="CG136" s="399"/>
      <c r="CI136" s="237"/>
      <c r="CJ136" s="237"/>
      <c r="CK136" s="237"/>
      <c r="CL136" s="400"/>
      <c r="CM136" s="398"/>
      <c r="CN136" s="398"/>
      <c r="CO136" s="398">
        <f t="shared" si="1772"/>
        <v>1</v>
      </c>
      <c r="CP136" s="398">
        <f t="shared" si="1773"/>
        <v>0</v>
      </c>
      <c r="CQ136" s="398">
        <f t="shared" si="1774"/>
        <v>0</v>
      </c>
      <c r="CR136" s="398">
        <f t="shared" si="1775"/>
        <v>0</v>
      </c>
      <c r="CS136" s="398">
        <f t="shared" si="1776"/>
        <v>0</v>
      </c>
      <c r="CT136" s="399"/>
      <c r="CV136" s="237"/>
      <c r="CW136" s="237"/>
      <c r="CX136" s="237"/>
      <c r="CY136" s="400"/>
      <c r="CZ136" s="398"/>
      <c r="DA136" s="398"/>
      <c r="DB136" s="398">
        <f t="shared" si="1777"/>
        <v>1</v>
      </c>
      <c r="DC136" s="398">
        <f t="shared" si="1778"/>
        <v>0</v>
      </c>
      <c r="DD136" s="398">
        <f t="shared" si="1779"/>
        <v>0</v>
      </c>
      <c r="DE136" s="398">
        <f t="shared" si="1780"/>
        <v>0</v>
      </c>
      <c r="DF136" s="398">
        <f t="shared" si="1781"/>
        <v>0</v>
      </c>
      <c r="DG136" s="399"/>
      <c r="DI136" s="237"/>
      <c r="DJ136" s="237"/>
      <c r="DK136" s="237"/>
      <c r="DL136" s="400"/>
      <c r="DM136" s="398"/>
      <c r="DN136" s="398"/>
      <c r="DO136" s="398">
        <f t="shared" si="1782"/>
        <v>1</v>
      </c>
      <c r="DP136" s="398">
        <f t="shared" si="1783"/>
        <v>0</v>
      </c>
      <c r="DQ136" s="398">
        <f t="shared" si="1784"/>
        <v>0</v>
      </c>
      <c r="DR136" s="398">
        <f t="shared" si="1785"/>
        <v>0</v>
      </c>
      <c r="DS136" s="398">
        <f t="shared" si="1786"/>
        <v>0</v>
      </c>
      <c r="DT136" s="399"/>
      <c r="DV136" s="237"/>
      <c r="DW136" s="237"/>
      <c r="DX136" s="237"/>
      <c r="DY136" s="400"/>
      <c r="DZ136" s="398"/>
      <c r="EA136" s="398"/>
      <c r="EB136" s="398">
        <f t="shared" si="1787"/>
        <v>1</v>
      </c>
      <c r="EC136" s="398">
        <f t="shared" si="1788"/>
        <v>0</v>
      </c>
      <c r="ED136" s="398">
        <f t="shared" si="1789"/>
        <v>0</v>
      </c>
      <c r="EE136" s="398">
        <f t="shared" si="1790"/>
        <v>0</v>
      </c>
      <c r="EF136" s="398">
        <f t="shared" si="1791"/>
        <v>0</v>
      </c>
      <c r="EG136" s="399"/>
      <c r="EI136" s="237"/>
      <c r="EJ136" s="237"/>
      <c r="EK136" s="237"/>
      <c r="EL136" s="400"/>
      <c r="EM136" s="398"/>
      <c r="EN136" s="398"/>
      <c r="EO136" s="398">
        <f t="shared" si="1792"/>
        <v>1</v>
      </c>
      <c r="EP136" s="398">
        <f t="shared" si="1793"/>
        <v>0</v>
      </c>
      <c r="EQ136" s="398">
        <f t="shared" si="1794"/>
        <v>0</v>
      </c>
      <c r="ER136" s="398">
        <f t="shared" si="1795"/>
        <v>0</v>
      </c>
      <c r="ES136" s="398">
        <f t="shared" si="1796"/>
        <v>0</v>
      </c>
      <c r="ET136" s="399"/>
      <c r="EV136" s="237"/>
      <c r="EW136" s="237"/>
      <c r="EX136" s="237"/>
      <c r="EY136" s="400"/>
      <c r="EZ136" s="398"/>
      <c r="FA136" s="398"/>
      <c r="FB136" s="398">
        <f t="shared" si="1797"/>
        <v>1</v>
      </c>
      <c r="FC136" s="398">
        <f t="shared" si="1798"/>
        <v>0</v>
      </c>
      <c r="FD136" s="398">
        <f t="shared" si="1799"/>
        <v>0</v>
      </c>
      <c r="FE136" s="398">
        <f t="shared" si="1800"/>
        <v>0</v>
      </c>
      <c r="FF136" s="398">
        <f t="shared" si="1801"/>
        <v>0</v>
      </c>
      <c r="FG136" s="399"/>
      <c r="FI136" s="237"/>
      <c r="FJ136" s="237"/>
      <c r="FK136" s="237"/>
      <c r="FL136" s="400"/>
      <c r="FM136" s="398"/>
      <c r="FN136" s="398"/>
      <c r="FO136" s="398">
        <f t="shared" si="1802"/>
        <v>1</v>
      </c>
      <c r="FP136" s="398">
        <f t="shared" si="1803"/>
        <v>0</v>
      </c>
      <c r="FQ136" s="398">
        <f t="shared" si="1804"/>
        <v>0</v>
      </c>
      <c r="FR136" s="398">
        <f t="shared" si="1805"/>
        <v>0</v>
      </c>
      <c r="FS136" s="398">
        <f t="shared" si="1806"/>
        <v>0</v>
      </c>
      <c r="FT136" s="399"/>
      <c r="FV136" s="237"/>
      <c r="FW136" s="237"/>
      <c r="FX136" s="237"/>
      <c r="FY136" s="400"/>
      <c r="FZ136" s="398"/>
      <c r="GA136" s="398"/>
      <c r="GB136" s="398">
        <f t="shared" si="1807"/>
        <v>1</v>
      </c>
      <c r="GC136" s="398">
        <f t="shared" si="1808"/>
        <v>0</v>
      </c>
      <c r="GD136" s="398">
        <f t="shared" si="1809"/>
        <v>0</v>
      </c>
      <c r="GE136" s="398">
        <f t="shared" si="1810"/>
        <v>0</v>
      </c>
      <c r="GF136" s="398">
        <f t="shared" si="1811"/>
        <v>0</v>
      </c>
      <c r="GG136" s="399"/>
      <c r="GI136" s="237"/>
      <c r="GJ136" s="237"/>
      <c r="GK136" s="237"/>
      <c r="GL136" s="400"/>
      <c r="GM136" s="398"/>
      <c r="GN136" s="398"/>
      <c r="GO136" s="398">
        <f t="shared" si="1812"/>
        <v>1</v>
      </c>
      <c r="GP136" s="398">
        <f t="shared" si="1813"/>
        <v>0</v>
      </c>
      <c r="GQ136" s="398">
        <f t="shared" si="1814"/>
        <v>0</v>
      </c>
      <c r="GR136" s="398">
        <f t="shared" si="1815"/>
        <v>0</v>
      </c>
      <c r="GS136" s="398">
        <f t="shared" si="1816"/>
        <v>0</v>
      </c>
      <c r="GT136" s="399"/>
      <c r="GV136" s="237"/>
      <c r="GW136" s="237"/>
      <c r="GX136" s="237"/>
      <c r="GY136" s="400"/>
      <c r="GZ136" s="398"/>
      <c r="HA136" s="398"/>
      <c r="HB136" s="398">
        <f t="shared" si="1817"/>
        <v>1</v>
      </c>
      <c r="HC136" s="398">
        <f t="shared" si="1818"/>
        <v>0</v>
      </c>
      <c r="HD136" s="398">
        <f t="shared" si="1819"/>
        <v>0</v>
      </c>
      <c r="HE136" s="398">
        <f t="shared" si="1820"/>
        <v>0</v>
      </c>
      <c r="HF136" s="398">
        <f t="shared" si="1821"/>
        <v>0</v>
      </c>
      <c r="HG136" s="399"/>
      <c r="HI136" s="237"/>
      <c r="HJ136" s="237"/>
      <c r="HK136" s="237"/>
      <c r="HL136" s="400"/>
      <c r="HM136" s="398"/>
      <c r="HN136" s="398"/>
      <c r="HO136" s="398">
        <f t="shared" si="1822"/>
        <v>1</v>
      </c>
      <c r="HP136" s="398">
        <f t="shared" si="1823"/>
        <v>0</v>
      </c>
      <c r="HQ136" s="398">
        <f t="shared" si="1824"/>
        <v>0</v>
      </c>
      <c r="HR136" s="398">
        <f t="shared" si="1825"/>
        <v>0</v>
      </c>
      <c r="HS136" s="398">
        <f t="shared" si="1826"/>
        <v>0</v>
      </c>
      <c r="HT136" s="399"/>
      <c r="HV136" s="237"/>
      <c r="HW136" s="237"/>
      <c r="HX136" s="237"/>
      <c r="HY136" s="400"/>
      <c r="HZ136" s="398"/>
      <c r="IA136" s="398"/>
      <c r="IB136" s="398">
        <f t="shared" si="1827"/>
        <v>1</v>
      </c>
      <c r="IC136" s="398">
        <f t="shared" si="1828"/>
        <v>0</v>
      </c>
      <c r="ID136" s="398">
        <f t="shared" si="1829"/>
        <v>0</v>
      </c>
      <c r="IE136" s="398">
        <f t="shared" si="1830"/>
        <v>0</v>
      </c>
      <c r="IF136" s="398">
        <f t="shared" si="1831"/>
        <v>0</v>
      </c>
      <c r="IG136" s="399"/>
      <c r="II136" s="237"/>
      <c r="IJ136" s="237"/>
      <c r="IK136" s="237"/>
      <c r="IL136" s="400"/>
      <c r="IM136" s="398"/>
      <c r="IN136" s="398"/>
      <c r="IO136" s="398">
        <f t="shared" si="1832"/>
        <v>1</v>
      </c>
      <c r="IP136" s="398">
        <f t="shared" si="1833"/>
        <v>0</v>
      </c>
      <c r="IQ136" s="398">
        <f t="shared" si="1834"/>
        <v>0</v>
      </c>
      <c r="IR136" s="398">
        <f t="shared" si="1835"/>
        <v>0</v>
      </c>
      <c r="IS136" s="398">
        <f t="shared" si="1836"/>
        <v>0</v>
      </c>
      <c r="IT136" s="399"/>
      <c r="IV136" s="237"/>
      <c r="IW136" s="237"/>
      <c r="IX136" s="237"/>
      <c r="IY136" s="400"/>
      <c r="IZ136" s="398"/>
      <c r="JA136" s="398"/>
      <c r="JB136" s="398">
        <f t="shared" si="1837"/>
        <v>1</v>
      </c>
      <c r="JC136" s="398">
        <f t="shared" si="1838"/>
        <v>0</v>
      </c>
      <c r="JD136" s="398">
        <f t="shared" si="1839"/>
        <v>0</v>
      </c>
      <c r="JE136" s="398">
        <f t="shared" si="1840"/>
        <v>0</v>
      </c>
      <c r="JF136" s="398">
        <f t="shared" si="1841"/>
        <v>0</v>
      </c>
      <c r="JG136" s="399"/>
      <c r="JI136" s="237"/>
      <c r="JJ136" s="237"/>
      <c r="JK136" s="237"/>
      <c r="JL136" s="400"/>
      <c r="JM136" s="398"/>
      <c r="JN136" s="398"/>
      <c r="JO136" s="398">
        <f t="shared" si="1842"/>
        <v>1</v>
      </c>
      <c r="JP136" s="398">
        <f t="shared" si="1843"/>
        <v>0</v>
      </c>
      <c r="JQ136" s="398">
        <f t="shared" si="1844"/>
        <v>0</v>
      </c>
      <c r="JR136" s="398">
        <f t="shared" si="1845"/>
        <v>0</v>
      </c>
      <c r="JS136" s="398">
        <f t="shared" si="1846"/>
        <v>0</v>
      </c>
      <c r="JT136" s="399"/>
      <c r="JV136" s="237"/>
      <c r="JW136" s="237"/>
      <c r="JX136" s="237"/>
      <c r="JY136" s="400"/>
      <c r="JZ136" s="398"/>
      <c r="KA136" s="398"/>
      <c r="KB136" s="398">
        <f t="shared" si="1847"/>
        <v>1</v>
      </c>
      <c r="KC136" s="398">
        <f t="shared" si="1848"/>
        <v>0</v>
      </c>
      <c r="KD136" s="398">
        <f t="shared" si="1849"/>
        <v>0</v>
      </c>
      <c r="KE136" s="398">
        <f t="shared" si="1850"/>
        <v>0</v>
      </c>
      <c r="KF136" s="398">
        <f t="shared" si="1851"/>
        <v>0</v>
      </c>
      <c r="KG136" s="399"/>
      <c r="KI136" s="237"/>
      <c r="KJ136" s="237"/>
      <c r="KK136" s="237"/>
      <c r="KL136" s="400"/>
      <c r="KM136" s="398"/>
      <c r="KN136" s="398"/>
      <c r="KO136" s="398">
        <f t="shared" si="1852"/>
        <v>1</v>
      </c>
      <c r="KP136" s="398">
        <f t="shared" si="1853"/>
        <v>0</v>
      </c>
      <c r="KQ136" s="398">
        <f t="shared" si="1854"/>
        <v>0</v>
      </c>
      <c r="KR136" s="398">
        <f t="shared" si="1855"/>
        <v>0</v>
      </c>
      <c r="KS136" s="398">
        <f t="shared" si="1856"/>
        <v>0</v>
      </c>
      <c r="KT136" s="399"/>
      <c r="KV136" s="237"/>
      <c r="KW136" s="237"/>
      <c r="KX136" s="237"/>
      <c r="KY136" s="400"/>
      <c r="KZ136" s="398"/>
      <c r="LA136" s="398"/>
      <c r="LB136" s="398">
        <f t="shared" si="1857"/>
        <v>1</v>
      </c>
      <c r="LC136" s="398">
        <f t="shared" si="1858"/>
        <v>0</v>
      </c>
      <c r="LD136" s="398">
        <f t="shared" si="1859"/>
        <v>0</v>
      </c>
      <c r="LE136" s="398">
        <f t="shared" si="1860"/>
        <v>0</v>
      </c>
      <c r="LF136" s="398">
        <f t="shared" si="1861"/>
        <v>0</v>
      </c>
      <c r="LG136" s="399"/>
      <c r="LI136" s="237"/>
      <c r="LJ136" s="237"/>
      <c r="LK136" s="237"/>
      <c r="LL136" s="400"/>
      <c r="LM136" s="398"/>
      <c r="LN136" s="398"/>
      <c r="LO136" s="398">
        <f t="shared" si="1862"/>
        <v>1</v>
      </c>
      <c r="LP136" s="398">
        <f t="shared" si="1863"/>
        <v>0</v>
      </c>
      <c r="LQ136" s="398">
        <f t="shared" si="1864"/>
        <v>0</v>
      </c>
      <c r="LR136" s="398">
        <f t="shared" si="1865"/>
        <v>0</v>
      </c>
      <c r="LS136" s="398">
        <f t="shared" si="1866"/>
        <v>0</v>
      </c>
      <c r="LT136" s="399"/>
      <c r="LV136" s="237"/>
      <c r="LW136" s="237"/>
      <c r="LX136" s="237"/>
      <c r="LY136" s="400"/>
      <c r="LZ136" s="398"/>
      <c r="MA136" s="398"/>
      <c r="MB136" s="398">
        <f t="shared" si="1867"/>
        <v>1</v>
      </c>
      <c r="MC136" s="398">
        <f t="shared" si="1868"/>
        <v>0</v>
      </c>
      <c r="MD136" s="398">
        <f t="shared" si="1869"/>
        <v>0</v>
      </c>
      <c r="ME136" s="398">
        <f t="shared" si="1870"/>
        <v>0</v>
      </c>
      <c r="MF136" s="398">
        <f t="shared" si="1871"/>
        <v>0</v>
      </c>
      <c r="MG136" s="399"/>
    </row>
    <row r="137" spans="2:345">
      <c r="B137" s="1340"/>
      <c r="C137" s="1341"/>
      <c r="D137" s="1341"/>
      <c r="E137" s="1341"/>
      <c r="F137" s="1341"/>
      <c r="G137" s="1341"/>
      <c r="H137" s="1342"/>
      <c r="I137" s="341"/>
      <c r="J137" s="237"/>
      <c r="K137" s="237"/>
      <c r="L137" s="400"/>
      <c r="M137" s="398"/>
      <c r="N137" s="398"/>
      <c r="O137" s="398">
        <f t="shared" si="1742"/>
        <v>1</v>
      </c>
      <c r="P137" s="398">
        <f t="shared" si="1743"/>
        <v>0</v>
      </c>
      <c r="Q137" s="398">
        <f t="shared" si="1744"/>
        <v>0</v>
      </c>
      <c r="R137" s="398">
        <f t="shared" si="1745"/>
        <v>0</v>
      </c>
      <c r="S137" s="398">
        <f t="shared" si="1746"/>
        <v>0</v>
      </c>
      <c r="T137" s="399"/>
      <c r="V137" s="237"/>
      <c r="W137" s="237"/>
      <c r="X137" s="237"/>
      <c r="Y137" s="400"/>
      <c r="Z137" s="398"/>
      <c r="AA137" s="398"/>
      <c r="AB137" s="398">
        <f t="shared" si="1747"/>
        <v>1</v>
      </c>
      <c r="AC137" s="398">
        <f t="shared" si="1748"/>
        <v>0</v>
      </c>
      <c r="AD137" s="398">
        <f t="shared" si="1749"/>
        <v>0</v>
      </c>
      <c r="AE137" s="398">
        <f t="shared" si="1750"/>
        <v>0</v>
      </c>
      <c r="AF137" s="398">
        <f t="shared" si="1751"/>
        <v>0</v>
      </c>
      <c r="AG137" s="399"/>
      <c r="AI137" s="237"/>
      <c r="AJ137" s="237"/>
      <c r="AK137" s="237"/>
      <c r="AL137" s="400"/>
      <c r="AM137" s="398"/>
      <c r="AN137" s="398"/>
      <c r="AO137" s="398">
        <f t="shared" si="1752"/>
        <v>1</v>
      </c>
      <c r="AP137" s="398">
        <f t="shared" si="1753"/>
        <v>0</v>
      </c>
      <c r="AQ137" s="398">
        <f t="shared" si="1754"/>
        <v>0</v>
      </c>
      <c r="AR137" s="398">
        <f t="shared" si="1755"/>
        <v>0</v>
      </c>
      <c r="AS137" s="398">
        <f t="shared" si="1756"/>
        <v>0</v>
      </c>
      <c r="AT137" s="399"/>
      <c r="AV137" s="237"/>
      <c r="AW137" s="237"/>
      <c r="AX137" s="237"/>
      <c r="AY137" s="400"/>
      <c r="AZ137" s="398"/>
      <c r="BA137" s="398"/>
      <c r="BB137" s="398">
        <f t="shared" si="1757"/>
        <v>1</v>
      </c>
      <c r="BC137" s="398">
        <f t="shared" si="1758"/>
        <v>0</v>
      </c>
      <c r="BD137" s="398">
        <f t="shared" si="1759"/>
        <v>0</v>
      </c>
      <c r="BE137" s="398">
        <f t="shared" si="1760"/>
        <v>0</v>
      </c>
      <c r="BF137" s="398">
        <f t="shared" si="1761"/>
        <v>0</v>
      </c>
      <c r="BG137" s="399"/>
      <c r="BI137" s="237"/>
      <c r="BJ137" s="237"/>
      <c r="BK137" s="237"/>
      <c r="BL137" s="400"/>
      <c r="BM137" s="398"/>
      <c r="BN137" s="398"/>
      <c r="BO137" s="398">
        <f t="shared" si="1762"/>
        <v>1</v>
      </c>
      <c r="BP137" s="398">
        <f t="shared" si="1763"/>
        <v>0</v>
      </c>
      <c r="BQ137" s="398">
        <f t="shared" si="1764"/>
        <v>0</v>
      </c>
      <c r="BR137" s="398">
        <f t="shared" si="1765"/>
        <v>0</v>
      </c>
      <c r="BS137" s="398">
        <f t="shared" si="1766"/>
        <v>0</v>
      </c>
      <c r="BT137" s="399"/>
      <c r="BV137" s="237"/>
      <c r="BW137" s="237"/>
      <c r="BX137" s="237"/>
      <c r="BY137" s="400"/>
      <c r="BZ137" s="398"/>
      <c r="CA137" s="398"/>
      <c r="CB137" s="398">
        <f t="shared" si="1767"/>
        <v>1</v>
      </c>
      <c r="CC137" s="398">
        <f t="shared" si="1768"/>
        <v>0</v>
      </c>
      <c r="CD137" s="398">
        <f t="shared" si="1769"/>
        <v>0</v>
      </c>
      <c r="CE137" s="398">
        <f t="shared" si="1770"/>
        <v>0</v>
      </c>
      <c r="CF137" s="398">
        <f t="shared" si="1771"/>
        <v>0</v>
      </c>
      <c r="CG137" s="399"/>
      <c r="CI137" s="237"/>
      <c r="CJ137" s="237"/>
      <c r="CK137" s="237"/>
      <c r="CL137" s="400"/>
      <c r="CM137" s="398"/>
      <c r="CN137" s="398"/>
      <c r="CO137" s="398">
        <f t="shared" si="1772"/>
        <v>1</v>
      </c>
      <c r="CP137" s="398">
        <f t="shared" si="1773"/>
        <v>0</v>
      </c>
      <c r="CQ137" s="398">
        <f t="shared" si="1774"/>
        <v>0</v>
      </c>
      <c r="CR137" s="398">
        <f t="shared" si="1775"/>
        <v>0</v>
      </c>
      <c r="CS137" s="398">
        <f t="shared" si="1776"/>
        <v>0</v>
      </c>
      <c r="CT137" s="399"/>
      <c r="CV137" s="237"/>
      <c r="CW137" s="237"/>
      <c r="CX137" s="237"/>
      <c r="CY137" s="400"/>
      <c r="CZ137" s="398"/>
      <c r="DA137" s="398"/>
      <c r="DB137" s="398">
        <f t="shared" si="1777"/>
        <v>1</v>
      </c>
      <c r="DC137" s="398">
        <f t="shared" si="1778"/>
        <v>0</v>
      </c>
      <c r="DD137" s="398">
        <f t="shared" si="1779"/>
        <v>0</v>
      </c>
      <c r="DE137" s="398">
        <f t="shared" si="1780"/>
        <v>0</v>
      </c>
      <c r="DF137" s="398">
        <f t="shared" si="1781"/>
        <v>0</v>
      </c>
      <c r="DG137" s="399"/>
      <c r="DI137" s="237"/>
      <c r="DJ137" s="237"/>
      <c r="DK137" s="237"/>
      <c r="DL137" s="400"/>
      <c r="DM137" s="398"/>
      <c r="DN137" s="398"/>
      <c r="DO137" s="398">
        <f t="shared" si="1782"/>
        <v>1</v>
      </c>
      <c r="DP137" s="398">
        <f t="shared" si="1783"/>
        <v>0</v>
      </c>
      <c r="DQ137" s="398">
        <f t="shared" si="1784"/>
        <v>0</v>
      </c>
      <c r="DR137" s="398">
        <f t="shared" si="1785"/>
        <v>0</v>
      </c>
      <c r="DS137" s="398">
        <f t="shared" si="1786"/>
        <v>0</v>
      </c>
      <c r="DT137" s="399"/>
      <c r="DV137" s="237"/>
      <c r="DW137" s="237"/>
      <c r="DX137" s="237"/>
      <c r="DY137" s="400"/>
      <c r="DZ137" s="398"/>
      <c r="EA137" s="398"/>
      <c r="EB137" s="398">
        <f t="shared" si="1787"/>
        <v>1</v>
      </c>
      <c r="EC137" s="398">
        <f t="shared" si="1788"/>
        <v>0</v>
      </c>
      <c r="ED137" s="398">
        <f t="shared" si="1789"/>
        <v>0</v>
      </c>
      <c r="EE137" s="398">
        <f t="shared" si="1790"/>
        <v>0</v>
      </c>
      <c r="EF137" s="398">
        <f t="shared" si="1791"/>
        <v>0</v>
      </c>
      <c r="EG137" s="399"/>
      <c r="EI137" s="237"/>
      <c r="EJ137" s="237"/>
      <c r="EK137" s="237"/>
      <c r="EL137" s="400"/>
      <c r="EM137" s="398"/>
      <c r="EN137" s="398"/>
      <c r="EO137" s="398">
        <f t="shared" si="1792"/>
        <v>1</v>
      </c>
      <c r="EP137" s="398">
        <f t="shared" si="1793"/>
        <v>0</v>
      </c>
      <c r="EQ137" s="398">
        <f t="shared" si="1794"/>
        <v>0</v>
      </c>
      <c r="ER137" s="398">
        <f t="shared" si="1795"/>
        <v>0</v>
      </c>
      <c r="ES137" s="398">
        <f t="shared" si="1796"/>
        <v>0</v>
      </c>
      <c r="ET137" s="399"/>
      <c r="EV137" s="237"/>
      <c r="EW137" s="237"/>
      <c r="EX137" s="237"/>
      <c r="EY137" s="400"/>
      <c r="EZ137" s="398"/>
      <c r="FA137" s="398"/>
      <c r="FB137" s="398">
        <f t="shared" si="1797"/>
        <v>1</v>
      </c>
      <c r="FC137" s="398">
        <f t="shared" si="1798"/>
        <v>0</v>
      </c>
      <c r="FD137" s="398">
        <f t="shared" si="1799"/>
        <v>0</v>
      </c>
      <c r="FE137" s="398">
        <f t="shared" si="1800"/>
        <v>0</v>
      </c>
      <c r="FF137" s="398">
        <f t="shared" si="1801"/>
        <v>0</v>
      </c>
      <c r="FG137" s="399"/>
      <c r="FI137" s="237"/>
      <c r="FJ137" s="237"/>
      <c r="FK137" s="237"/>
      <c r="FL137" s="400"/>
      <c r="FM137" s="398"/>
      <c r="FN137" s="398"/>
      <c r="FO137" s="398">
        <f t="shared" si="1802"/>
        <v>1</v>
      </c>
      <c r="FP137" s="398">
        <f t="shared" si="1803"/>
        <v>0</v>
      </c>
      <c r="FQ137" s="398">
        <f t="shared" si="1804"/>
        <v>0</v>
      </c>
      <c r="FR137" s="398">
        <f t="shared" si="1805"/>
        <v>0</v>
      </c>
      <c r="FS137" s="398">
        <f t="shared" si="1806"/>
        <v>0</v>
      </c>
      <c r="FT137" s="399"/>
      <c r="FV137" s="237"/>
      <c r="FW137" s="237"/>
      <c r="FX137" s="237"/>
      <c r="FY137" s="400"/>
      <c r="FZ137" s="398"/>
      <c r="GA137" s="398"/>
      <c r="GB137" s="398">
        <f t="shared" si="1807"/>
        <v>1</v>
      </c>
      <c r="GC137" s="398">
        <f t="shared" si="1808"/>
        <v>0</v>
      </c>
      <c r="GD137" s="398">
        <f t="shared" si="1809"/>
        <v>0</v>
      </c>
      <c r="GE137" s="398">
        <f t="shared" si="1810"/>
        <v>0</v>
      </c>
      <c r="GF137" s="398">
        <f t="shared" si="1811"/>
        <v>0</v>
      </c>
      <c r="GG137" s="399"/>
      <c r="GI137" s="237"/>
      <c r="GJ137" s="237"/>
      <c r="GK137" s="237"/>
      <c r="GL137" s="400"/>
      <c r="GM137" s="398"/>
      <c r="GN137" s="398"/>
      <c r="GO137" s="398">
        <f t="shared" si="1812"/>
        <v>1</v>
      </c>
      <c r="GP137" s="398">
        <f t="shared" si="1813"/>
        <v>0</v>
      </c>
      <c r="GQ137" s="398">
        <f t="shared" si="1814"/>
        <v>0</v>
      </c>
      <c r="GR137" s="398">
        <f t="shared" si="1815"/>
        <v>0</v>
      </c>
      <c r="GS137" s="398">
        <f t="shared" si="1816"/>
        <v>0</v>
      </c>
      <c r="GT137" s="399"/>
      <c r="GV137" s="237"/>
      <c r="GW137" s="237"/>
      <c r="GX137" s="237"/>
      <c r="GY137" s="400"/>
      <c r="GZ137" s="398"/>
      <c r="HA137" s="398"/>
      <c r="HB137" s="398">
        <f t="shared" si="1817"/>
        <v>1</v>
      </c>
      <c r="HC137" s="398">
        <f t="shared" si="1818"/>
        <v>0</v>
      </c>
      <c r="HD137" s="398">
        <f t="shared" si="1819"/>
        <v>0</v>
      </c>
      <c r="HE137" s="398">
        <f t="shared" si="1820"/>
        <v>0</v>
      </c>
      <c r="HF137" s="398">
        <f t="shared" si="1821"/>
        <v>0</v>
      </c>
      <c r="HG137" s="399"/>
      <c r="HI137" s="237"/>
      <c r="HJ137" s="237"/>
      <c r="HK137" s="237"/>
      <c r="HL137" s="400"/>
      <c r="HM137" s="398"/>
      <c r="HN137" s="398"/>
      <c r="HO137" s="398">
        <f t="shared" si="1822"/>
        <v>1</v>
      </c>
      <c r="HP137" s="398">
        <f t="shared" si="1823"/>
        <v>0</v>
      </c>
      <c r="HQ137" s="398">
        <f t="shared" si="1824"/>
        <v>0</v>
      </c>
      <c r="HR137" s="398">
        <f t="shared" si="1825"/>
        <v>0</v>
      </c>
      <c r="HS137" s="398">
        <f t="shared" si="1826"/>
        <v>0</v>
      </c>
      <c r="HT137" s="399"/>
      <c r="HV137" s="237"/>
      <c r="HW137" s="237"/>
      <c r="HX137" s="237"/>
      <c r="HY137" s="400"/>
      <c r="HZ137" s="398"/>
      <c r="IA137" s="398"/>
      <c r="IB137" s="398">
        <f t="shared" si="1827"/>
        <v>1</v>
      </c>
      <c r="IC137" s="398">
        <f t="shared" si="1828"/>
        <v>0</v>
      </c>
      <c r="ID137" s="398">
        <f t="shared" si="1829"/>
        <v>0</v>
      </c>
      <c r="IE137" s="398">
        <f t="shared" si="1830"/>
        <v>0</v>
      </c>
      <c r="IF137" s="398">
        <f t="shared" si="1831"/>
        <v>0</v>
      </c>
      <c r="IG137" s="399"/>
      <c r="II137" s="237"/>
      <c r="IJ137" s="237"/>
      <c r="IK137" s="237"/>
      <c r="IL137" s="400"/>
      <c r="IM137" s="398"/>
      <c r="IN137" s="398"/>
      <c r="IO137" s="398">
        <f t="shared" si="1832"/>
        <v>1</v>
      </c>
      <c r="IP137" s="398">
        <f t="shared" si="1833"/>
        <v>0</v>
      </c>
      <c r="IQ137" s="398">
        <f t="shared" si="1834"/>
        <v>0</v>
      </c>
      <c r="IR137" s="398">
        <f t="shared" si="1835"/>
        <v>0</v>
      </c>
      <c r="IS137" s="398">
        <f t="shared" si="1836"/>
        <v>0</v>
      </c>
      <c r="IT137" s="399"/>
      <c r="IV137" s="237"/>
      <c r="IW137" s="237"/>
      <c r="IX137" s="237"/>
      <c r="IY137" s="400"/>
      <c r="IZ137" s="398"/>
      <c r="JA137" s="398"/>
      <c r="JB137" s="398">
        <f t="shared" si="1837"/>
        <v>1</v>
      </c>
      <c r="JC137" s="398">
        <f t="shared" si="1838"/>
        <v>0</v>
      </c>
      <c r="JD137" s="398">
        <f t="shared" si="1839"/>
        <v>0</v>
      </c>
      <c r="JE137" s="398">
        <f t="shared" si="1840"/>
        <v>0</v>
      </c>
      <c r="JF137" s="398">
        <f t="shared" si="1841"/>
        <v>0</v>
      </c>
      <c r="JG137" s="399"/>
      <c r="JI137" s="237"/>
      <c r="JJ137" s="237"/>
      <c r="JK137" s="237"/>
      <c r="JL137" s="400"/>
      <c r="JM137" s="398"/>
      <c r="JN137" s="398"/>
      <c r="JO137" s="398">
        <f t="shared" si="1842"/>
        <v>1</v>
      </c>
      <c r="JP137" s="398">
        <f t="shared" si="1843"/>
        <v>0</v>
      </c>
      <c r="JQ137" s="398">
        <f t="shared" si="1844"/>
        <v>0</v>
      </c>
      <c r="JR137" s="398">
        <f t="shared" si="1845"/>
        <v>0</v>
      </c>
      <c r="JS137" s="398">
        <f t="shared" si="1846"/>
        <v>0</v>
      </c>
      <c r="JT137" s="399"/>
      <c r="JV137" s="237"/>
      <c r="JW137" s="237"/>
      <c r="JX137" s="237"/>
      <c r="JY137" s="400"/>
      <c r="JZ137" s="398"/>
      <c r="KA137" s="398"/>
      <c r="KB137" s="398">
        <f t="shared" si="1847"/>
        <v>1</v>
      </c>
      <c r="KC137" s="398">
        <f t="shared" si="1848"/>
        <v>0</v>
      </c>
      <c r="KD137" s="398">
        <f t="shared" si="1849"/>
        <v>0</v>
      </c>
      <c r="KE137" s="398">
        <f t="shared" si="1850"/>
        <v>0</v>
      </c>
      <c r="KF137" s="398">
        <f t="shared" si="1851"/>
        <v>0</v>
      </c>
      <c r="KG137" s="399"/>
      <c r="KI137" s="237"/>
      <c r="KJ137" s="237"/>
      <c r="KK137" s="237"/>
      <c r="KL137" s="400"/>
      <c r="KM137" s="398"/>
      <c r="KN137" s="398"/>
      <c r="KO137" s="398">
        <f t="shared" si="1852"/>
        <v>1</v>
      </c>
      <c r="KP137" s="398">
        <f t="shared" si="1853"/>
        <v>0</v>
      </c>
      <c r="KQ137" s="398">
        <f t="shared" si="1854"/>
        <v>0</v>
      </c>
      <c r="KR137" s="398">
        <f t="shared" si="1855"/>
        <v>0</v>
      </c>
      <c r="KS137" s="398">
        <f t="shared" si="1856"/>
        <v>0</v>
      </c>
      <c r="KT137" s="399"/>
      <c r="KV137" s="237"/>
      <c r="KW137" s="237"/>
      <c r="KX137" s="237"/>
      <c r="KY137" s="400"/>
      <c r="KZ137" s="398"/>
      <c r="LA137" s="398"/>
      <c r="LB137" s="398">
        <f t="shared" si="1857"/>
        <v>1</v>
      </c>
      <c r="LC137" s="398">
        <f t="shared" si="1858"/>
        <v>0</v>
      </c>
      <c r="LD137" s="398">
        <f t="shared" si="1859"/>
        <v>0</v>
      </c>
      <c r="LE137" s="398">
        <f t="shared" si="1860"/>
        <v>0</v>
      </c>
      <c r="LF137" s="398">
        <f t="shared" si="1861"/>
        <v>0</v>
      </c>
      <c r="LG137" s="399"/>
      <c r="LI137" s="237"/>
      <c r="LJ137" s="237"/>
      <c r="LK137" s="237"/>
      <c r="LL137" s="400"/>
      <c r="LM137" s="398"/>
      <c r="LN137" s="398"/>
      <c r="LO137" s="398">
        <f t="shared" si="1862"/>
        <v>1</v>
      </c>
      <c r="LP137" s="398">
        <f t="shared" si="1863"/>
        <v>0</v>
      </c>
      <c r="LQ137" s="398">
        <f t="shared" si="1864"/>
        <v>0</v>
      </c>
      <c r="LR137" s="398">
        <f t="shared" si="1865"/>
        <v>0</v>
      </c>
      <c r="LS137" s="398">
        <f t="shared" si="1866"/>
        <v>0</v>
      </c>
      <c r="LT137" s="399"/>
      <c r="LV137" s="237"/>
      <c r="LW137" s="237"/>
      <c r="LX137" s="237"/>
      <c r="LY137" s="400"/>
      <c r="LZ137" s="398"/>
      <c r="MA137" s="398"/>
      <c r="MB137" s="398">
        <f t="shared" si="1867"/>
        <v>1</v>
      </c>
      <c r="MC137" s="398">
        <f t="shared" si="1868"/>
        <v>0</v>
      </c>
      <c r="MD137" s="398">
        <f t="shared" si="1869"/>
        <v>0</v>
      </c>
      <c r="ME137" s="398">
        <f t="shared" si="1870"/>
        <v>0</v>
      </c>
      <c r="MF137" s="398">
        <f t="shared" si="1871"/>
        <v>0</v>
      </c>
      <c r="MG137" s="399"/>
    </row>
    <row r="138" spans="2:345" ht="45.75" customHeight="1">
      <c r="B138" s="1340"/>
      <c r="C138" s="1341"/>
      <c r="D138" s="1341"/>
      <c r="E138" s="1341"/>
      <c r="F138" s="1341"/>
      <c r="G138" s="1341"/>
      <c r="H138" s="1342"/>
      <c r="I138" s="341"/>
      <c r="J138" s="237"/>
      <c r="K138" s="237"/>
      <c r="L138" s="400"/>
      <c r="M138" s="398"/>
      <c r="N138" s="398"/>
      <c r="O138" s="398">
        <f t="shared" si="1742"/>
        <v>1</v>
      </c>
      <c r="P138" s="398">
        <f t="shared" si="1743"/>
        <v>0</v>
      </c>
      <c r="Q138" s="398">
        <f t="shared" si="1744"/>
        <v>0</v>
      </c>
      <c r="R138" s="398">
        <f t="shared" si="1745"/>
        <v>0</v>
      </c>
      <c r="S138" s="398">
        <f t="shared" si="1746"/>
        <v>0</v>
      </c>
      <c r="T138" s="399"/>
      <c r="V138" s="237"/>
      <c r="W138" s="237"/>
      <c r="X138" s="237"/>
      <c r="Y138" s="400"/>
      <c r="Z138" s="398"/>
      <c r="AA138" s="398"/>
      <c r="AB138" s="398">
        <f t="shared" si="1747"/>
        <v>1</v>
      </c>
      <c r="AC138" s="398">
        <f t="shared" si="1748"/>
        <v>0</v>
      </c>
      <c r="AD138" s="398">
        <f t="shared" si="1749"/>
        <v>0</v>
      </c>
      <c r="AE138" s="398">
        <f t="shared" si="1750"/>
        <v>0</v>
      </c>
      <c r="AF138" s="398">
        <f t="shared" si="1751"/>
        <v>0</v>
      </c>
      <c r="AG138" s="399"/>
      <c r="AI138" s="237"/>
      <c r="AJ138" s="237"/>
      <c r="AK138" s="237"/>
      <c r="AL138" s="400"/>
      <c r="AM138" s="398"/>
      <c r="AN138" s="398"/>
      <c r="AO138" s="398">
        <f t="shared" si="1752"/>
        <v>1</v>
      </c>
      <c r="AP138" s="398">
        <f t="shared" si="1753"/>
        <v>0</v>
      </c>
      <c r="AQ138" s="398">
        <f t="shared" si="1754"/>
        <v>0</v>
      </c>
      <c r="AR138" s="398">
        <f t="shared" si="1755"/>
        <v>0</v>
      </c>
      <c r="AS138" s="398">
        <f t="shared" si="1756"/>
        <v>0</v>
      </c>
      <c r="AT138" s="399"/>
      <c r="AV138" s="237"/>
      <c r="AW138" s="237"/>
      <c r="AX138" s="237"/>
      <c r="AY138" s="400"/>
      <c r="AZ138" s="398"/>
      <c r="BA138" s="398"/>
      <c r="BB138" s="398">
        <f t="shared" si="1757"/>
        <v>1</v>
      </c>
      <c r="BC138" s="398">
        <f t="shared" si="1758"/>
        <v>0</v>
      </c>
      <c r="BD138" s="398">
        <f t="shared" si="1759"/>
        <v>0</v>
      </c>
      <c r="BE138" s="398">
        <f t="shared" si="1760"/>
        <v>0</v>
      </c>
      <c r="BF138" s="398">
        <f t="shared" si="1761"/>
        <v>0</v>
      </c>
      <c r="BG138" s="399"/>
      <c r="BI138" s="237"/>
      <c r="BJ138" s="237"/>
      <c r="BK138" s="237"/>
      <c r="BL138" s="400"/>
      <c r="BM138" s="398"/>
      <c r="BN138" s="398"/>
      <c r="BO138" s="398">
        <f t="shared" si="1762"/>
        <v>1</v>
      </c>
      <c r="BP138" s="398">
        <f t="shared" si="1763"/>
        <v>0</v>
      </c>
      <c r="BQ138" s="398">
        <f t="shared" si="1764"/>
        <v>0</v>
      </c>
      <c r="BR138" s="398">
        <f t="shared" si="1765"/>
        <v>0</v>
      </c>
      <c r="BS138" s="398">
        <f t="shared" si="1766"/>
        <v>0</v>
      </c>
      <c r="BT138" s="399"/>
      <c r="BV138" s="237"/>
      <c r="BW138" s="237"/>
      <c r="BX138" s="237"/>
      <c r="BY138" s="400"/>
      <c r="BZ138" s="398"/>
      <c r="CA138" s="398"/>
      <c r="CB138" s="398">
        <f t="shared" si="1767"/>
        <v>1</v>
      </c>
      <c r="CC138" s="398">
        <f t="shared" si="1768"/>
        <v>0</v>
      </c>
      <c r="CD138" s="398">
        <f t="shared" si="1769"/>
        <v>0</v>
      </c>
      <c r="CE138" s="398">
        <f t="shared" si="1770"/>
        <v>0</v>
      </c>
      <c r="CF138" s="398">
        <f t="shared" si="1771"/>
        <v>0</v>
      </c>
      <c r="CG138" s="399"/>
      <c r="CI138" s="237"/>
      <c r="CJ138" s="237"/>
      <c r="CK138" s="237"/>
      <c r="CL138" s="400"/>
      <c r="CM138" s="398"/>
      <c r="CN138" s="398"/>
      <c r="CO138" s="398">
        <f t="shared" si="1772"/>
        <v>1</v>
      </c>
      <c r="CP138" s="398">
        <f t="shared" si="1773"/>
        <v>0</v>
      </c>
      <c r="CQ138" s="398">
        <f t="shared" si="1774"/>
        <v>0</v>
      </c>
      <c r="CR138" s="398">
        <f t="shared" si="1775"/>
        <v>0</v>
      </c>
      <c r="CS138" s="398">
        <f t="shared" si="1776"/>
        <v>0</v>
      </c>
      <c r="CT138" s="399"/>
      <c r="CV138" s="237"/>
      <c r="CW138" s="237"/>
      <c r="CX138" s="237"/>
      <c r="CY138" s="400"/>
      <c r="CZ138" s="398"/>
      <c r="DA138" s="398"/>
      <c r="DB138" s="398">
        <f t="shared" si="1777"/>
        <v>1</v>
      </c>
      <c r="DC138" s="398">
        <f t="shared" si="1778"/>
        <v>0</v>
      </c>
      <c r="DD138" s="398">
        <f t="shared" si="1779"/>
        <v>0</v>
      </c>
      <c r="DE138" s="398">
        <f t="shared" si="1780"/>
        <v>0</v>
      </c>
      <c r="DF138" s="398">
        <f t="shared" si="1781"/>
        <v>0</v>
      </c>
      <c r="DG138" s="399"/>
      <c r="DI138" s="237"/>
      <c r="DJ138" s="237"/>
      <c r="DK138" s="237"/>
      <c r="DL138" s="400"/>
      <c r="DM138" s="398"/>
      <c r="DN138" s="398"/>
      <c r="DO138" s="398">
        <f t="shared" si="1782"/>
        <v>1</v>
      </c>
      <c r="DP138" s="398">
        <f t="shared" si="1783"/>
        <v>0</v>
      </c>
      <c r="DQ138" s="398">
        <f t="shared" si="1784"/>
        <v>0</v>
      </c>
      <c r="DR138" s="398">
        <f t="shared" si="1785"/>
        <v>0</v>
      </c>
      <c r="DS138" s="398">
        <f t="shared" si="1786"/>
        <v>0</v>
      </c>
      <c r="DT138" s="399"/>
      <c r="DV138" s="237"/>
      <c r="DW138" s="237"/>
      <c r="DX138" s="237"/>
      <c r="DY138" s="400"/>
      <c r="DZ138" s="398"/>
      <c r="EA138" s="398"/>
      <c r="EB138" s="398">
        <f t="shared" si="1787"/>
        <v>1</v>
      </c>
      <c r="EC138" s="398">
        <f t="shared" si="1788"/>
        <v>0</v>
      </c>
      <c r="ED138" s="398">
        <f t="shared" si="1789"/>
        <v>0</v>
      </c>
      <c r="EE138" s="398">
        <f t="shared" si="1790"/>
        <v>0</v>
      </c>
      <c r="EF138" s="398">
        <f t="shared" si="1791"/>
        <v>0</v>
      </c>
      <c r="EG138" s="399"/>
      <c r="EI138" s="237"/>
      <c r="EJ138" s="237"/>
      <c r="EK138" s="237"/>
      <c r="EL138" s="400"/>
      <c r="EM138" s="398"/>
      <c r="EN138" s="398"/>
      <c r="EO138" s="398">
        <f t="shared" si="1792"/>
        <v>1</v>
      </c>
      <c r="EP138" s="398">
        <f t="shared" si="1793"/>
        <v>0</v>
      </c>
      <c r="EQ138" s="398">
        <f t="shared" si="1794"/>
        <v>0</v>
      </c>
      <c r="ER138" s="398">
        <f t="shared" si="1795"/>
        <v>0</v>
      </c>
      <c r="ES138" s="398">
        <f t="shared" si="1796"/>
        <v>0</v>
      </c>
      <c r="ET138" s="399"/>
      <c r="EV138" s="237"/>
      <c r="EW138" s="237"/>
      <c r="EX138" s="237"/>
      <c r="EY138" s="400"/>
      <c r="EZ138" s="398"/>
      <c r="FA138" s="398"/>
      <c r="FB138" s="398">
        <f t="shared" si="1797"/>
        <v>1</v>
      </c>
      <c r="FC138" s="398">
        <f t="shared" si="1798"/>
        <v>0</v>
      </c>
      <c r="FD138" s="398">
        <f t="shared" si="1799"/>
        <v>0</v>
      </c>
      <c r="FE138" s="398">
        <f t="shared" si="1800"/>
        <v>0</v>
      </c>
      <c r="FF138" s="398">
        <f t="shared" si="1801"/>
        <v>0</v>
      </c>
      <c r="FG138" s="399"/>
      <c r="FI138" s="237"/>
      <c r="FJ138" s="237"/>
      <c r="FK138" s="237"/>
      <c r="FL138" s="400"/>
      <c r="FM138" s="398"/>
      <c r="FN138" s="398"/>
      <c r="FO138" s="398">
        <f t="shared" si="1802"/>
        <v>1</v>
      </c>
      <c r="FP138" s="398">
        <f t="shared" si="1803"/>
        <v>0</v>
      </c>
      <c r="FQ138" s="398">
        <f t="shared" si="1804"/>
        <v>0</v>
      </c>
      <c r="FR138" s="398">
        <f t="shared" si="1805"/>
        <v>0</v>
      </c>
      <c r="FS138" s="398">
        <f t="shared" si="1806"/>
        <v>0</v>
      </c>
      <c r="FT138" s="399"/>
      <c r="FV138" s="237"/>
      <c r="FW138" s="237"/>
      <c r="FX138" s="237"/>
      <c r="FY138" s="400"/>
      <c r="FZ138" s="398"/>
      <c r="GA138" s="398"/>
      <c r="GB138" s="398">
        <f t="shared" si="1807"/>
        <v>1</v>
      </c>
      <c r="GC138" s="398">
        <f t="shared" si="1808"/>
        <v>0</v>
      </c>
      <c r="GD138" s="398">
        <f t="shared" si="1809"/>
        <v>0</v>
      </c>
      <c r="GE138" s="398">
        <f t="shared" si="1810"/>
        <v>0</v>
      </c>
      <c r="GF138" s="398">
        <f t="shared" si="1811"/>
        <v>0</v>
      </c>
      <c r="GG138" s="399"/>
      <c r="GI138" s="237"/>
      <c r="GJ138" s="237"/>
      <c r="GK138" s="237"/>
      <c r="GL138" s="400"/>
      <c r="GM138" s="398"/>
      <c r="GN138" s="398"/>
      <c r="GO138" s="398">
        <f t="shared" si="1812"/>
        <v>1</v>
      </c>
      <c r="GP138" s="398">
        <f t="shared" si="1813"/>
        <v>0</v>
      </c>
      <c r="GQ138" s="398">
        <f t="shared" si="1814"/>
        <v>0</v>
      </c>
      <c r="GR138" s="398">
        <f t="shared" si="1815"/>
        <v>0</v>
      </c>
      <c r="GS138" s="398">
        <f t="shared" si="1816"/>
        <v>0</v>
      </c>
      <c r="GT138" s="399"/>
      <c r="GV138" s="237"/>
      <c r="GW138" s="237"/>
      <c r="GX138" s="237"/>
      <c r="GY138" s="400"/>
      <c r="GZ138" s="398"/>
      <c r="HA138" s="398"/>
      <c r="HB138" s="398">
        <f t="shared" si="1817"/>
        <v>1</v>
      </c>
      <c r="HC138" s="398">
        <f t="shared" si="1818"/>
        <v>0</v>
      </c>
      <c r="HD138" s="398">
        <f t="shared" si="1819"/>
        <v>0</v>
      </c>
      <c r="HE138" s="398">
        <f t="shared" si="1820"/>
        <v>0</v>
      </c>
      <c r="HF138" s="398">
        <f t="shared" si="1821"/>
        <v>0</v>
      </c>
      <c r="HG138" s="399"/>
      <c r="HI138" s="237"/>
      <c r="HJ138" s="237"/>
      <c r="HK138" s="237"/>
      <c r="HL138" s="400"/>
      <c r="HM138" s="398"/>
      <c r="HN138" s="398"/>
      <c r="HO138" s="398">
        <f t="shared" si="1822"/>
        <v>1</v>
      </c>
      <c r="HP138" s="398">
        <f t="shared" si="1823"/>
        <v>0</v>
      </c>
      <c r="HQ138" s="398">
        <f t="shared" si="1824"/>
        <v>0</v>
      </c>
      <c r="HR138" s="398">
        <f t="shared" si="1825"/>
        <v>0</v>
      </c>
      <c r="HS138" s="398">
        <f t="shared" si="1826"/>
        <v>0</v>
      </c>
      <c r="HT138" s="399"/>
      <c r="HV138" s="237"/>
      <c r="HW138" s="237"/>
      <c r="HX138" s="237"/>
      <c r="HY138" s="400"/>
      <c r="HZ138" s="398"/>
      <c r="IA138" s="398"/>
      <c r="IB138" s="398">
        <f t="shared" si="1827"/>
        <v>1</v>
      </c>
      <c r="IC138" s="398">
        <f t="shared" si="1828"/>
        <v>0</v>
      </c>
      <c r="ID138" s="398">
        <f t="shared" si="1829"/>
        <v>0</v>
      </c>
      <c r="IE138" s="398">
        <f t="shared" si="1830"/>
        <v>0</v>
      </c>
      <c r="IF138" s="398">
        <f t="shared" si="1831"/>
        <v>0</v>
      </c>
      <c r="IG138" s="399"/>
      <c r="II138" s="237"/>
      <c r="IJ138" s="237"/>
      <c r="IK138" s="237"/>
      <c r="IL138" s="400"/>
      <c r="IM138" s="398"/>
      <c r="IN138" s="398"/>
      <c r="IO138" s="398">
        <f t="shared" si="1832"/>
        <v>1</v>
      </c>
      <c r="IP138" s="398">
        <f t="shared" si="1833"/>
        <v>0</v>
      </c>
      <c r="IQ138" s="398">
        <f t="shared" si="1834"/>
        <v>0</v>
      </c>
      <c r="IR138" s="398">
        <f t="shared" si="1835"/>
        <v>0</v>
      </c>
      <c r="IS138" s="398">
        <f t="shared" si="1836"/>
        <v>0</v>
      </c>
      <c r="IT138" s="399"/>
      <c r="IV138" s="237"/>
      <c r="IW138" s="237"/>
      <c r="IX138" s="237"/>
      <c r="IY138" s="400"/>
      <c r="IZ138" s="398"/>
      <c r="JA138" s="398"/>
      <c r="JB138" s="398">
        <f t="shared" si="1837"/>
        <v>1</v>
      </c>
      <c r="JC138" s="398">
        <f t="shared" si="1838"/>
        <v>0</v>
      </c>
      <c r="JD138" s="398">
        <f t="shared" si="1839"/>
        <v>0</v>
      </c>
      <c r="JE138" s="398">
        <f t="shared" si="1840"/>
        <v>0</v>
      </c>
      <c r="JF138" s="398">
        <f t="shared" si="1841"/>
        <v>0</v>
      </c>
      <c r="JG138" s="399"/>
      <c r="JI138" s="237"/>
      <c r="JJ138" s="237"/>
      <c r="JK138" s="237"/>
      <c r="JL138" s="400"/>
      <c r="JM138" s="398"/>
      <c r="JN138" s="398"/>
      <c r="JO138" s="398">
        <f t="shared" si="1842"/>
        <v>1</v>
      </c>
      <c r="JP138" s="398">
        <f t="shared" si="1843"/>
        <v>0</v>
      </c>
      <c r="JQ138" s="398">
        <f t="shared" si="1844"/>
        <v>0</v>
      </c>
      <c r="JR138" s="398">
        <f t="shared" si="1845"/>
        <v>0</v>
      </c>
      <c r="JS138" s="398">
        <f t="shared" si="1846"/>
        <v>0</v>
      </c>
      <c r="JT138" s="399"/>
      <c r="JV138" s="237"/>
      <c r="JW138" s="237"/>
      <c r="JX138" s="237"/>
      <c r="JY138" s="400"/>
      <c r="JZ138" s="398"/>
      <c r="KA138" s="398"/>
      <c r="KB138" s="398">
        <f t="shared" si="1847"/>
        <v>1</v>
      </c>
      <c r="KC138" s="398">
        <f t="shared" si="1848"/>
        <v>0</v>
      </c>
      <c r="KD138" s="398">
        <f t="shared" si="1849"/>
        <v>0</v>
      </c>
      <c r="KE138" s="398">
        <f t="shared" si="1850"/>
        <v>0</v>
      </c>
      <c r="KF138" s="398">
        <f t="shared" si="1851"/>
        <v>0</v>
      </c>
      <c r="KG138" s="399"/>
      <c r="KI138" s="237"/>
      <c r="KJ138" s="237"/>
      <c r="KK138" s="237"/>
      <c r="KL138" s="400"/>
      <c r="KM138" s="398"/>
      <c r="KN138" s="398"/>
      <c r="KO138" s="398">
        <f t="shared" si="1852"/>
        <v>1</v>
      </c>
      <c r="KP138" s="398">
        <f t="shared" si="1853"/>
        <v>0</v>
      </c>
      <c r="KQ138" s="398">
        <f t="shared" si="1854"/>
        <v>0</v>
      </c>
      <c r="KR138" s="398">
        <f t="shared" si="1855"/>
        <v>0</v>
      </c>
      <c r="KS138" s="398">
        <f t="shared" si="1856"/>
        <v>0</v>
      </c>
      <c r="KT138" s="399"/>
      <c r="KV138" s="237"/>
      <c r="KW138" s="237"/>
      <c r="KX138" s="237"/>
      <c r="KY138" s="400"/>
      <c r="KZ138" s="398"/>
      <c r="LA138" s="398"/>
      <c r="LB138" s="398">
        <f t="shared" si="1857"/>
        <v>1</v>
      </c>
      <c r="LC138" s="398">
        <f t="shared" si="1858"/>
        <v>0</v>
      </c>
      <c r="LD138" s="398">
        <f t="shared" si="1859"/>
        <v>0</v>
      </c>
      <c r="LE138" s="398">
        <f t="shared" si="1860"/>
        <v>0</v>
      </c>
      <c r="LF138" s="398">
        <f t="shared" si="1861"/>
        <v>0</v>
      </c>
      <c r="LG138" s="399"/>
      <c r="LI138" s="237"/>
      <c r="LJ138" s="237"/>
      <c r="LK138" s="237"/>
      <c r="LL138" s="400"/>
      <c r="LM138" s="398"/>
      <c r="LN138" s="398"/>
      <c r="LO138" s="398">
        <f t="shared" si="1862"/>
        <v>1</v>
      </c>
      <c r="LP138" s="398">
        <f t="shared" si="1863"/>
        <v>0</v>
      </c>
      <c r="LQ138" s="398">
        <f t="shared" si="1864"/>
        <v>0</v>
      </c>
      <c r="LR138" s="398">
        <f t="shared" si="1865"/>
        <v>0</v>
      </c>
      <c r="LS138" s="398">
        <f t="shared" si="1866"/>
        <v>0</v>
      </c>
      <c r="LT138" s="399"/>
      <c r="LV138" s="237"/>
      <c r="LW138" s="237"/>
      <c r="LX138" s="237"/>
      <c r="LY138" s="400"/>
      <c r="LZ138" s="398"/>
      <c r="MA138" s="398"/>
      <c r="MB138" s="398">
        <f t="shared" si="1867"/>
        <v>1</v>
      </c>
      <c r="MC138" s="398">
        <f t="shared" si="1868"/>
        <v>0</v>
      </c>
      <c r="MD138" s="398">
        <f t="shared" si="1869"/>
        <v>0</v>
      </c>
      <c r="ME138" s="398">
        <f t="shared" si="1870"/>
        <v>0</v>
      </c>
      <c r="MF138" s="398">
        <f t="shared" si="1871"/>
        <v>0</v>
      </c>
      <c r="MG138" s="399"/>
    </row>
    <row r="139" spans="2:345" ht="15.75" customHeight="1">
      <c r="B139" s="1340" t="str">
        <f>Language!$E$232</f>
        <v>De factoren voor de individuele categorieën en andere instellingen vóóraf kunnen opgevoerd worden op het tabblad: 'Prsettings'.</v>
      </c>
      <c r="C139" s="1341"/>
      <c r="D139" s="1341"/>
      <c r="E139" s="1341"/>
      <c r="F139" s="1341"/>
      <c r="G139" s="1341"/>
      <c r="H139" s="1342"/>
      <c r="L139" s="399"/>
      <c r="M139" s="399"/>
      <c r="N139" s="399"/>
      <c r="O139" s="398">
        <f t="shared" si="1742"/>
        <v>1</v>
      </c>
      <c r="P139" s="398">
        <f t="shared" si="1743"/>
        <v>0</v>
      </c>
      <c r="Q139" s="398">
        <f t="shared" si="1744"/>
        <v>0</v>
      </c>
      <c r="R139" s="398">
        <f t="shared" si="1745"/>
        <v>0</v>
      </c>
      <c r="S139" s="398">
        <f t="shared" si="1746"/>
        <v>0</v>
      </c>
      <c r="T139" s="399"/>
      <c r="Y139" s="399"/>
      <c r="Z139" s="399"/>
      <c r="AA139" s="399"/>
      <c r="AB139" s="398">
        <f t="shared" si="1747"/>
        <v>1</v>
      </c>
      <c r="AC139" s="398">
        <f t="shared" si="1748"/>
        <v>0</v>
      </c>
      <c r="AD139" s="398">
        <f t="shared" si="1749"/>
        <v>0</v>
      </c>
      <c r="AE139" s="398">
        <f t="shared" si="1750"/>
        <v>0</v>
      </c>
      <c r="AF139" s="398">
        <f t="shared" si="1751"/>
        <v>0</v>
      </c>
      <c r="AG139" s="399"/>
      <c r="AL139" s="399"/>
      <c r="AM139" s="399"/>
      <c r="AN139" s="399"/>
      <c r="AO139" s="398">
        <f t="shared" si="1752"/>
        <v>1</v>
      </c>
      <c r="AP139" s="398">
        <f t="shared" si="1753"/>
        <v>0</v>
      </c>
      <c r="AQ139" s="398">
        <f t="shared" si="1754"/>
        <v>0</v>
      </c>
      <c r="AR139" s="398">
        <f t="shared" si="1755"/>
        <v>0</v>
      </c>
      <c r="AS139" s="398">
        <f t="shared" si="1756"/>
        <v>0</v>
      </c>
      <c r="AT139" s="399"/>
      <c r="AY139" s="399"/>
      <c r="AZ139" s="399"/>
      <c r="BA139" s="399"/>
      <c r="BB139" s="398">
        <f t="shared" si="1757"/>
        <v>1</v>
      </c>
      <c r="BC139" s="398">
        <f t="shared" si="1758"/>
        <v>0</v>
      </c>
      <c r="BD139" s="398">
        <f t="shared" si="1759"/>
        <v>0</v>
      </c>
      <c r="BE139" s="398">
        <f t="shared" si="1760"/>
        <v>0</v>
      </c>
      <c r="BF139" s="398">
        <f t="shared" si="1761"/>
        <v>0</v>
      </c>
      <c r="BG139" s="399"/>
      <c r="BL139" s="399"/>
      <c r="BM139" s="399"/>
      <c r="BN139" s="399"/>
      <c r="BO139" s="398">
        <f t="shared" si="1762"/>
        <v>1</v>
      </c>
      <c r="BP139" s="398">
        <f t="shared" si="1763"/>
        <v>0</v>
      </c>
      <c r="BQ139" s="398">
        <f t="shared" si="1764"/>
        <v>0</v>
      </c>
      <c r="BR139" s="398">
        <f t="shared" si="1765"/>
        <v>0</v>
      </c>
      <c r="BS139" s="398">
        <f t="shared" si="1766"/>
        <v>0</v>
      </c>
      <c r="BT139" s="399"/>
      <c r="BY139" s="399"/>
      <c r="BZ139" s="399"/>
      <c r="CA139" s="399"/>
      <c r="CB139" s="398">
        <f t="shared" si="1767"/>
        <v>1</v>
      </c>
      <c r="CC139" s="398">
        <f t="shared" si="1768"/>
        <v>0</v>
      </c>
      <c r="CD139" s="398">
        <f t="shared" si="1769"/>
        <v>0</v>
      </c>
      <c r="CE139" s="398">
        <f t="shared" si="1770"/>
        <v>0</v>
      </c>
      <c r="CF139" s="398">
        <f t="shared" si="1771"/>
        <v>0</v>
      </c>
      <c r="CG139" s="399"/>
      <c r="CL139" s="399"/>
      <c r="CM139" s="399"/>
      <c r="CN139" s="399"/>
      <c r="CO139" s="398">
        <f t="shared" si="1772"/>
        <v>1</v>
      </c>
      <c r="CP139" s="398">
        <f t="shared" si="1773"/>
        <v>0</v>
      </c>
      <c r="CQ139" s="398">
        <f t="shared" si="1774"/>
        <v>0</v>
      </c>
      <c r="CR139" s="398">
        <f t="shared" si="1775"/>
        <v>0</v>
      </c>
      <c r="CS139" s="398">
        <f t="shared" si="1776"/>
        <v>0</v>
      </c>
      <c r="CT139" s="399"/>
      <c r="CY139" s="399"/>
      <c r="CZ139" s="399"/>
      <c r="DA139" s="399"/>
      <c r="DB139" s="398">
        <f t="shared" si="1777"/>
        <v>1</v>
      </c>
      <c r="DC139" s="398">
        <f t="shared" si="1778"/>
        <v>0</v>
      </c>
      <c r="DD139" s="398">
        <f t="shared" si="1779"/>
        <v>0</v>
      </c>
      <c r="DE139" s="398">
        <f t="shared" si="1780"/>
        <v>0</v>
      </c>
      <c r="DF139" s="398">
        <f t="shared" si="1781"/>
        <v>0</v>
      </c>
      <c r="DG139" s="399"/>
      <c r="DL139" s="399"/>
      <c r="DM139" s="399"/>
      <c r="DN139" s="399"/>
      <c r="DO139" s="398">
        <f t="shared" si="1782"/>
        <v>1</v>
      </c>
      <c r="DP139" s="398">
        <f t="shared" si="1783"/>
        <v>0</v>
      </c>
      <c r="DQ139" s="398">
        <f t="shared" si="1784"/>
        <v>0</v>
      </c>
      <c r="DR139" s="398">
        <f t="shared" si="1785"/>
        <v>0</v>
      </c>
      <c r="DS139" s="398">
        <f t="shared" si="1786"/>
        <v>0</v>
      </c>
      <c r="DT139" s="399"/>
      <c r="DY139" s="399"/>
      <c r="DZ139" s="399"/>
      <c r="EA139" s="399"/>
      <c r="EB139" s="398">
        <f t="shared" si="1787"/>
        <v>1</v>
      </c>
      <c r="EC139" s="398">
        <f t="shared" si="1788"/>
        <v>0</v>
      </c>
      <c r="ED139" s="398">
        <f t="shared" si="1789"/>
        <v>0</v>
      </c>
      <c r="EE139" s="398">
        <f t="shared" si="1790"/>
        <v>0</v>
      </c>
      <c r="EF139" s="398">
        <f t="shared" si="1791"/>
        <v>0</v>
      </c>
      <c r="EG139" s="399"/>
      <c r="EL139" s="399"/>
      <c r="EM139" s="399"/>
      <c r="EN139" s="399"/>
      <c r="EO139" s="398">
        <f t="shared" si="1792"/>
        <v>1</v>
      </c>
      <c r="EP139" s="398">
        <f t="shared" si="1793"/>
        <v>0</v>
      </c>
      <c r="EQ139" s="398">
        <f t="shared" si="1794"/>
        <v>0</v>
      </c>
      <c r="ER139" s="398">
        <f t="shared" si="1795"/>
        <v>0</v>
      </c>
      <c r="ES139" s="398">
        <f t="shared" si="1796"/>
        <v>0</v>
      </c>
      <c r="ET139" s="399"/>
      <c r="EY139" s="399"/>
      <c r="EZ139" s="399"/>
      <c r="FA139" s="399"/>
      <c r="FB139" s="398">
        <f t="shared" si="1797"/>
        <v>1</v>
      </c>
      <c r="FC139" s="398">
        <f t="shared" si="1798"/>
        <v>0</v>
      </c>
      <c r="FD139" s="398">
        <f t="shared" si="1799"/>
        <v>0</v>
      </c>
      <c r="FE139" s="398">
        <f t="shared" si="1800"/>
        <v>0</v>
      </c>
      <c r="FF139" s="398">
        <f t="shared" si="1801"/>
        <v>0</v>
      </c>
      <c r="FG139" s="399"/>
      <c r="FL139" s="399"/>
      <c r="FM139" s="399"/>
      <c r="FN139" s="399"/>
      <c r="FO139" s="398">
        <f t="shared" si="1802"/>
        <v>1</v>
      </c>
      <c r="FP139" s="398">
        <f t="shared" si="1803"/>
        <v>0</v>
      </c>
      <c r="FQ139" s="398">
        <f t="shared" si="1804"/>
        <v>0</v>
      </c>
      <c r="FR139" s="398">
        <f t="shared" si="1805"/>
        <v>0</v>
      </c>
      <c r="FS139" s="398">
        <f t="shared" si="1806"/>
        <v>0</v>
      </c>
      <c r="FT139" s="399"/>
      <c r="FY139" s="399"/>
      <c r="FZ139" s="399"/>
      <c r="GA139" s="399"/>
      <c r="GB139" s="398">
        <f t="shared" si="1807"/>
        <v>1</v>
      </c>
      <c r="GC139" s="398">
        <f t="shared" si="1808"/>
        <v>0</v>
      </c>
      <c r="GD139" s="398">
        <f t="shared" si="1809"/>
        <v>0</v>
      </c>
      <c r="GE139" s="398">
        <f t="shared" si="1810"/>
        <v>0</v>
      </c>
      <c r="GF139" s="398">
        <f t="shared" si="1811"/>
        <v>0</v>
      </c>
      <c r="GG139" s="399"/>
      <c r="GL139" s="399"/>
      <c r="GM139" s="399"/>
      <c r="GN139" s="399"/>
      <c r="GO139" s="398">
        <f t="shared" si="1812"/>
        <v>1</v>
      </c>
      <c r="GP139" s="398">
        <f t="shared" si="1813"/>
        <v>0</v>
      </c>
      <c r="GQ139" s="398">
        <f t="shared" si="1814"/>
        <v>0</v>
      </c>
      <c r="GR139" s="398">
        <f t="shared" si="1815"/>
        <v>0</v>
      </c>
      <c r="GS139" s="398">
        <f t="shared" si="1816"/>
        <v>0</v>
      </c>
      <c r="GT139" s="399"/>
      <c r="GY139" s="399"/>
      <c r="GZ139" s="399"/>
      <c r="HA139" s="399"/>
      <c r="HB139" s="398">
        <f t="shared" si="1817"/>
        <v>1</v>
      </c>
      <c r="HC139" s="398">
        <f t="shared" si="1818"/>
        <v>0</v>
      </c>
      <c r="HD139" s="398">
        <f t="shared" si="1819"/>
        <v>0</v>
      </c>
      <c r="HE139" s="398">
        <f t="shared" si="1820"/>
        <v>0</v>
      </c>
      <c r="HF139" s="398">
        <f t="shared" si="1821"/>
        <v>0</v>
      </c>
      <c r="HG139" s="399"/>
      <c r="HL139" s="399"/>
      <c r="HM139" s="399"/>
      <c r="HN139" s="399"/>
      <c r="HO139" s="398">
        <f t="shared" si="1822"/>
        <v>1</v>
      </c>
      <c r="HP139" s="398">
        <f t="shared" si="1823"/>
        <v>0</v>
      </c>
      <c r="HQ139" s="398">
        <f t="shared" si="1824"/>
        <v>0</v>
      </c>
      <c r="HR139" s="398">
        <f t="shared" si="1825"/>
        <v>0</v>
      </c>
      <c r="HS139" s="398">
        <f t="shared" si="1826"/>
        <v>0</v>
      </c>
      <c r="HT139" s="399"/>
      <c r="HY139" s="399"/>
      <c r="HZ139" s="399"/>
      <c r="IA139" s="399"/>
      <c r="IB139" s="398">
        <f t="shared" si="1827"/>
        <v>1</v>
      </c>
      <c r="IC139" s="398">
        <f t="shared" si="1828"/>
        <v>0</v>
      </c>
      <c r="ID139" s="398">
        <f t="shared" si="1829"/>
        <v>0</v>
      </c>
      <c r="IE139" s="398">
        <f t="shared" si="1830"/>
        <v>0</v>
      </c>
      <c r="IF139" s="398">
        <f t="shared" si="1831"/>
        <v>0</v>
      </c>
      <c r="IG139" s="399"/>
      <c r="IL139" s="399"/>
      <c r="IM139" s="399"/>
      <c r="IN139" s="399"/>
      <c r="IO139" s="398">
        <f t="shared" si="1832"/>
        <v>1</v>
      </c>
      <c r="IP139" s="398">
        <f t="shared" si="1833"/>
        <v>0</v>
      </c>
      <c r="IQ139" s="398">
        <f t="shared" si="1834"/>
        <v>0</v>
      </c>
      <c r="IR139" s="398">
        <f t="shared" si="1835"/>
        <v>0</v>
      </c>
      <c r="IS139" s="398">
        <f t="shared" si="1836"/>
        <v>0</v>
      </c>
      <c r="IT139" s="399"/>
      <c r="IY139" s="399"/>
      <c r="IZ139" s="399"/>
      <c r="JA139" s="399"/>
      <c r="JB139" s="398">
        <f t="shared" si="1837"/>
        <v>1</v>
      </c>
      <c r="JC139" s="398">
        <f t="shared" si="1838"/>
        <v>0</v>
      </c>
      <c r="JD139" s="398">
        <f t="shared" si="1839"/>
        <v>0</v>
      </c>
      <c r="JE139" s="398">
        <f t="shared" si="1840"/>
        <v>0</v>
      </c>
      <c r="JF139" s="398">
        <f t="shared" si="1841"/>
        <v>0</v>
      </c>
      <c r="JG139" s="399"/>
      <c r="JL139" s="399"/>
      <c r="JM139" s="399"/>
      <c r="JN139" s="399"/>
      <c r="JO139" s="398">
        <f t="shared" si="1842"/>
        <v>1</v>
      </c>
      <c r="JP139" s="398">
        <f t="shared" si="1843"/>
        <v>0</v>
      </c>
      <c r="JQ139" s="398">
        <f t="shared" si="1844"/>
        <v>0</v>
      </c>
      <c r="JR139" s="398">
        <f t="shared" si="1845"/>
        <v>0</v>
      </c>
      <c r="JS139" s="398">
        <f t="shared" si="1846"/>
        <v>0</v>
      </c>
      <c r="JT139" s="399"/>
      <c r="JY139" s="399"/>
      <c r="JZ139" s="399"/>
      <c r="KA139" s="399"/>
      <c r="KB139" s="398">
        <f t="shared" si="1847"/>
        <v>1</v>
      </c>
      <c r="KC139" s="398">
        <f t="shared" si="1848"/>
        <v>0</v>
      </c>
      <c r="KD139" s="398">
        <f t="shared" si="1849"/>
        <v>0</v>
      </c>
      <c r="KE139" s="398">
        <f t="shared" si="1850"/>
        <v>0</v>
      </c>
      <c r="KF139" s="398">
        <f t="shared" si="1851"/>
        <v>0</v>
      </c>
      <c r="KG139" s="399"/>
      <c r="KL139" s="399"/>
      <c r="KM139" s="399"/>
      <c r="KN139" s="399"/>
      <c r="KO139" s="398">
        <f t="shared" si="1852"/>
        <v>1</v>
      </c>
      <c r="KP139" s="398">
        <f t="shared" si="1853"/>
        <v>0</v>
      </c>
      <c r="KQ139" s="398">
        <f t="shared" si="1854"/>
        <v>0</v>
      </c>
      <c r="KR139" s="398">
        <f t="shared" si="1855"/>
        <v>0</v>
      </c>
      <c r="KS139" s="398">
        <f t="shared" si="1856"/>
        <v>0</v>
      </c>
      <c r="KT139" s="399"/>
      <c r="KY139" s="399"/>
      <c r="KZ139" s="399"/>
      <c r="LA139" s="399"/>
      <c r="LB139" s="398">
        <f t="shared" si="1857"/>
        <v>1</v>
      </c>
      <c r="LC139" s="398">
        <f t="shared" si="1858"/>
        <v>0</v>
      </c>
      <c r="LD139" s="398">
        <f t="shared" si="1859"/>
        <v>0</v>
      </c>
      <c r="LE139" s="398">
        <f t="shared" si="1860"/>
        <v>0</v>
      </c>
      <c r="LF139" s="398">
        <f t="shared" si="1861"/>
        <v>0</v>
      </c>
      <c r="LG139" s="399"/>
      <c r="LL139" s="399"/>
      <c r="LM139" s="399"/>
      <c r="LN139" s="399"/>
      <c r="LO139" s="398">
        <f t="shared" si="1862"/>
        <v>1</v>
      </c>
      <c r="LP139" s="398">
        <f t="shared" si="1863"/>
        <v>0</v>
      </c>
      <c r="LQ139" s="398">
        <f t="shared" si="1864"/>
        <v>0</v>
      </c>
      <c r="LR139" s="398">
        <f t="shared" si="1865"/>
        <v>0</v>
      </c>
      <c r="LS139" s="398">
        <f t="shared" si="1866"/>
        <v>0</v>
      </c>
      <c r="LT139" s="399"/>
      <c r="LY139" s="399"/>
      <c r="LZ139" s="399"/>
      <c r="MA139" s="399"/>
      <c r="MB139" s="398">
        <f t="shared" si="1867"/>
        <v>1</v>
      </c>
      <c r="MC139" s="398">
        <f t="shared" si="1868"/>
        <v>0</v>
      </c>
      <c r="MD139" s="398">
        <f t="shared" si="1869"/>
        <v>0</v>
      </c>
      <c r="ME139" s="398">
        <f t="shared" si="1870"/>
        <v>0</v>
      </c>
      <c r="MF139" s="398">
        <f t="shared" si="1871"/>
        <v>0</v>
      </c>
      <c r="MG139" s="399"/>
    </row>
    <row r="140" spans="2:345">
      <c r="B140" s="1340"/>
      <c r="C140" s="1341"/>
      <c r="D140" s="1341"/>
      <c r="E140" s="1341"/>
      <c r="F140" s="1341"/>
      <c r="G140" s="1341"/>
      <c r="H140" s="1342"/>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c r="B141" s="1343"/>
      <c r="C141" s="1344"/>
      <c r="D141" s="1344"/>
      <c r="E141" s="1344"/>
      <c r="F141" s="1344"/>
      <c r="G141" s="1344"/>
      <c r="H141" s="1345"/>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c r="I142" s="4"/>
      <c r="J142" s="4"/>
      <c r="K142" s="4"/>
      <c r="L142" s="398"/>
      <c r="M142" s="398"/>
      <c r="N142" s="398"/>
      <c r="O142" s="398">
        <f t="shared" ref="O142:O144" si="1872">(T117&lt;&gt;2)+($B$116&amp;$D$116&lt;&gt;I117&amp;K117)*($B$117&amp;$D$117&lt;&gt;I117&amp;K117)*($B$118&amp;$D$118&lt;&gt;I117&amp;K117)*($B$119&amp;$D$119&lt;&gt;I117&amp;K117)*($D$116&amp;$B$116&lt;&gt;I117&amp;K117)*($D$117&amp;$B$117&lt;&gt;I117&amp;K117)*($D$118&amp;$B$118&lt;&gt;I117&amp;K117)*($D$119&amp;$B$119&lt;&gt;I117&amp;K117)</f>
        <v>1</v>
      </c>
      <c r="P142" s="398">
        <f t="shared" ref="P142:P144" si="1873">IFERROR(VLOOKUP(I117,$B$116:$F$119,5,0),0)</f>
        <v>0</v>
      </c>
      <c r="Q142" s="398">
        <f t="shared" ref="Q142:Q144" si="1874">IFERROR(VLOOKUP(K117,$B$116:$F$119,5,0),0)</f>
        <v>0</v>
      </c>
      <c r="R142" s="398">
        <f t="shared" ref="R142:R144" si="1875">IFERROR(VLOOKUP(I117,$D$116:$G$119,4,0),0)</f>
        <v>0</v>
      </c>
      <c r="S142" s="398">
        <f t="shared" ref="S142:S144" si="1876">IFERROR(VLOOKUP(K117,$D$116:$G$119,4,0),0)</f>
        <v>0</v>
      </c>
      <c r="T142" s="399"/>
      <c r="V142" s="4"/>
      <c r="W142" s="4"/>
      <c r="X142" s="4"/>
      <c r="Y142" s="398"/>
      <c r="Z142" s="398"/>
      <c r="AA142" s="398"/>
      <c r="AB142" s="398">
        <f t="shared" ref="AB142:AB144" si="1877">(AG117&lt;&gt;2)+($B$116&amp;$D$116&lt;&gt;V117&amp;X117)*($B$117&amp;$D$117&lt;&gt;V117&amp;X117)*($B$118&amp;$D$118&lt;&gt;V117&amp;X117)*($B$119&amp;$D$119&lt;&gt;V117&amp;X117)*($D$116&amp;$B$116&lt;&gt;V117&amp;X117)*($D$117&amp;$B$117&lt;&gt;V117&amp;X117)*($D$118&amp;$B$118&lt;&gt;V117&amp;X117)*($D$119&amp;$B$119&lt;&gt;V117&amp;X117)</f>
        <v>1</v>
      </c>
      <c r="AC142" s="398">
        <f t="shared" ref="AC142:AC144" si="1878">IFERROR(VLOOKUP(V117,$B$116:$F$119,5,0),0)</f>
        <v>0</v>
      </c>
      <c r="AD142" s="398">
        <f t="shared" ref="AD142:AD144" si="1879">IFERROR(VLOOKUP(X117,$B$116:$F$119,5,0),0)</f>
        <v>0</v>
      </c>
      <c r="AE142" s="398">
        <f t="shared" ref="AE142:AE144" si="1880">IFERROR(VLOOKUP(V117,$D$116:$G$119,4,0),0)</f>
        <v>0</v>
      </c>
      <c r="AF142" s="398">
        <f t="shared" ref="AF142:AF144" si="1881">IFERROR(VLOOKUP(X117,$D$116:$G$119,4,0),0)</f>
        <v>0</v>
      </c>
      <c r="AG142" s="399"/>
      <c r="AI142" s="4"/>
      <c r="AJ142" s="4"/>
      <c r="AK142" s="4"/>
      <c r="AL142" s="398"/>
      <c r="AM142" s="398"/>
      <c r="AN142" s="398"/>
      <c r="AO142" s="398">
        <f t="shared" ref="AO142:AO144" si="1882">(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83">IFERROR(VLOOKUP(AI117,$B$116:$F$119,5,0),0)</f>
        <v>0</v>
      </c>
      <c r="AQ142" s="398">
        <f t="shared" ref="AQ142:AQ144" si="1884">IFERROR(VLOOKUP(AK117,$B$116:$F$119,5,0),0)</f>
        <v>0</v>
      </c>
      <c r="AR142" s="398">
        <f t="shared" ref="AR142:AR144" si="1885">IFERROR(VLOOKUP(AI117,$D$116:$G$119,4,0),0)</f>
        <v>0</v>
      </c>
      <c r="AS142" s="398">
        <f t="shared" ref="AS142:AS144" si="1886">IFERROR(VLOOKUP(AK117,$D$116:$G$119,4,0),0)</f>
        <v>0</v>
      </c>
      <c r="AT142" s="399"/>
      <c r="AV142" s="4"/>
      <c r="AW142" s="4"/>
      <c r="AX142" s="4"/>
      <c r="AY142" s="398"/>
      <c r="AZ142" s="398"/>
      <c r="BA142" s="398"/>
      <c r="BB142" s="398">
        <f t="shared" ref="BB142:BB144" si="1887">(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88">IFERROR(VLOOKUP(AV117,$B$116:$F$119,5,0),0)</f>
        <v>0</v>
      </c>
      <c r="BD142" s="398">
        <f t="shared" ref="BD142:BD144" si="1889">IFERROR(VLOOKUP(AX117,$B$116:$F$119,5,0),0)</f>
        <v>0</v>
      </c>
      <c r="BE142" s="398">
        <f t="shared" ref="BE142:BE144" si="1890">IFERROR(VLOOKUP(AV117,$D$116:$G$119,4,0),0)</f>
        <v>0</v>
      </c>
      <c r="BF142" s="398">
        <f t="shared" ref="BF142:BF144" si="1891">IFERROR(VLOOKUP(AX117,$D$116:$G$119,4,0),0)</f>
        <v>0</v>
      </c>
      <c r="BG142" s="399"/>
      <c r="BI142" s="4"/>
      <c r="BJ142" s="4"/>
      <c r="BK142" s="4"/>
      <c r="BL142" s="398"/>
      <c r="BM142" s="398"/>
      <c r="BN142" s="398"/>
      <c r="BO142" s="398">
        <f t="shared" ref="BO142:BO144" si="1892">(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93">IFERROR(VLOOKUP(BI117,$B$116:$F$119,5,0),0)</f>
        <v>0</v>
      </c>
      <c r="BQ142" s="398">
        <f t="shared" ref="BQ142:BQ144" si="1894">IFERROR(VLOOKUP(BK117,$B$116:$F$119,5,0),0)</f>
        <v>0</v>
      </c>
      <c r="BR142" s="398">
        <f t="shared" ref="BR142:BR144" si="1895">IFERROR(VLOOKUP(BI117,$D$116:$G$119,4,0),0)</f>
        <v>0</v>
      </c>
      <c r="BS142" s="398">
        <f t="shared" ref="BS142:BS144" si="1896">IFERROR(VLOOKUP(BK117,$D$116:$G$119,4,0),0)</f>
        <v>0</v>
      </c>
      <c r="BT142" s="399"/>
      <c r="BV142" s="4"/>
      <c r="BW142" s="4"/>
      <c r="BX142" s="4"/>
      <c r="BY142" s="398"/>
      <c r="BZ142" s="398"/>
      <c r="CA142" s="398"/>
      <c r="CB142" s="398">
        <f t="shared" ref="CB142:CB144" si="1897">(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98">IFERROR(VLOOKUP(BV117,$B$116:$F$119,5,0),0)</f>
        <v>0</v>
      </c>
      <c r="CD142" s="398">
        <f t="shared" ref="CD142:CD144" si="1899">IFERROR(VLOOKUP(BX117,$B$116:$F$119,5,0),0)</f>
        <v>0</v>
      </c>
      <c r="CE142" s="398">
        <f t="shared" ref="CE142:CE144" si="1900">IFERROR(VLOOKUP(BV117,$D$116:$G$119,4,0),0)</f>
        <v>0</v>
      </c>
      <c r="CF142" s="398">
        <f t="shared" ref="CF142:CF144" si="1901">IFERROR(VLOOKUP(BX117,$D$116:$G$119,4,0),0)</f>
        <v>0</v>
      </c>
      <c r="CG142" s="399"/>
      <c r="CI142" s="4"/>
      <c r="CJ142" s="4"/>
      <c r="CK142" s="4"/>
      <c r="CL142" s="398"/>
      <c r="CM142" s="398"/>
      <c r="CN142" s="398"/>
      <c r="CO142" s="398">
        <f t="shared" ref="CO142:CO144" si="1902">(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903">IFERROR(VLOOKUP(CI117,$B$116:$F$119,5,0),0)</f>
        <v>0</v>
      </c>
      <c r="CQ142" s="398">
        <f t="shared" ref="CQ142:CQ144" si="1904">IFERROR(VLOOKUP(CK117,$B$116:$F$119,5,0),0)</f>
        <v>0</v>
      </c>
      <c r="CR142" s="398">
        <f t="shared" ref="CR142:CR144" si="1905">IFERROR(VLOOKUP(CI117,$D$116:$G$119,4,0),0)</f>
        <v>0</v>
      </c>
      <c r="CS142" s="398">
        <f t="shared" ref="CS142:CS144" si="1906">IFERROR(VLOOKUP(CK117,$D$116:$G$119,4,0),0)</f>
        <v>0</v>
      </c>
      <c r="CT142" s="399"/>
      <c r="CV142" s="4"/>
      <c r="CW142" s="4"/>
      <c r="CX142" s="4"/>
      <c r="CY142" s="398"/>
      <c r="CZ142" s="398"/>
      <c r="DA142" s="398"/>
      <c r="DB142" s="398">
        <f t="shared" ref="DB142:DB144" si="1907">(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908">IFERROR(VLOOKUP(CV117,$B$116:$F$119,5,0),0)</f>
        <v>0</v>
      </c>
      <c r="DD142" s="398">
        <f t="shared" ref="DD142:DD144" si="1909">IFERROR(VLOOKUP(CX117,$B$116:$F$119,5,0),0)</f>
        <v>0</v>
      </c>
      <c r="DE142" s="398">
        <f t="shared" ref="DE142:DE144" si="1910">IFERROR(VLOOKUP(CV117,$D$116:$G$119,4,0),0)</f>
        <v>0</v>
      </c>
      <c r="DF142" s="398">
        <f t="shared" ref="DF142:DF144" si="1911">IFERROR(VLOOKUP(CX117,$D$116:$G$119,4,0),0)</f>
        <v>0</v>
      </c>
      <c r="DG142" s="399"/>
      <c r="DI142" s="4"/>
      <c r="DJ142" s="4"/>
      <c r="DK142" s="4"/>
      <c r="DL142" s="398"/>
      <c r="DM142" s="398"/>
      <c r="DN142" s="398"/>
      <c r="DO142" s="398">
        <f t="shared" ref="DO142:DO144" si="1912">(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913">IFERROR(VLOOKUP(DI117,$B$116:$F$119,5,0),0)</f>
        <v>0</v>
      </c>
      <c r="DQ142" s="398">
        <f t="shared" ref="DQ142:DQ144" si="1914">IFERROR(VLOOKUP(DK117,$B$116:$F$119,5,0),0)</f>
        <v>0</v>
      </c>
      <c r="DR142" s="398">
        <f t="shared" ref="DR142:DR144" si="1915">IFERROR(VLOOKUP(DI117,$D$116:$G$119,4,0),0)</f>
        <v>0</v>
      </c>
      <c r="DS142" s="398">
        <f t="shared" ref="DS142:DS144" si="1916">IFERROR(VLOOKUP(DK117,$D$116:$G$119,4,0),0)</f>
        <v>0</v>
      </c>
      <c r="DT142" s="399"/>
      <c r="DV142" s="4"/>
      <c r="DW142" s="4"/>
      <c r="DX142" s="4"/>
      <c r="DY142" s="398"/>
      <c r="DZ142" s="398"/>
      <c r="EA142" s="398"/>
      <c r="EB142" s="398">
        <f t="shared" ref="EB142:EB144" si="1917">(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918">IFERROR(VLOOKUP(DV117,$B$116:$F$119,5,0),0)</f>
        <v>0</v>
      </c>
      <c r="ED142" s="398">
        <f t="shared" ref="ED142:ED144" si="1919">IFERROR(VLOOKUP(DX117,$B$116:$F$119,5,0),0)</f>
        <v>0</v>
      </c>
      <c r="EE142" s="398">
        <f t="shared" ref="EE142:EE144" si="1920">IFERROR(VLOOKUP(DV117,$D$116:$G$119,4,0),0)</f>
        <v>0</v>
      </c>
      <c r="EF142" s="398">
        <f t="shared" ref="EF142:EF144" si="1921">IFERROR(VLOOKUP(DX117,$D$116:$G$119,4,0),0)</f>
        <v>0</v>
      </c>
      <c r="EG142" s="399"/>
      <c r="EI142" s="4"/>
      <c r="EJ142" s="4"/>
      <c r="EK142" s="4"/>
      <c r="EL142" s="398"/>
      <c r="EM142" s="398"/>
      <c r="EN142" s="398"/>
      <c r="EO142" s="398">
        <f t="shared" ref="EO142:EO144" si="1922">(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923">IFERROR(VLOOKUP(EI117,$B$116:$F$119,5,0),0)</f>
        <v>0</v>
      </c>
      <c r="EQ142" s="398">
        <f t="shared" ref="EQ142:EQ144" si="1924">IFERROR(VLOOKUP(EK117,$B$116:$F$119,5,0),0)</f>
        <v>0</v>
      </c>
      <c r="ER142" s="398">
        <f t="shared" ref="ER142:ER144" si="1925">IFERROR(VLOOKUP(EI117,$D$116:$G$119,4,0),0)</f>
        <v>0</v>
      </c>
      <c r="ES142" s="398">
        <f t="shared" ref="ES142:ES144" si="1926">IFERROR(VLOOKUP(EK117,$D$116:$G$119,4,0),0)</f>
        <v>0</v>
      </c>
      <c r="ET142" s="399"/>
      <c r="EV142" s="4"/>
      <c r="EW142" s="4"/>
      <c r="EX142" s="4"/>
      <c r="EY142" s="398"/>
      <c r="EZ142" s="398"/>
      <c r="FA142" s="398"/>
      <c r="FB142" s="398">
        <f t="shared" ref="FB142:FB144" si="1927">(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28">IFERROR(VLOOKUP(EV117,$B$116:$F$119,5,0),0)</f>
        <v>0</v>
      </c>
      <c r="FD142" s="398">
        <f t="shared" ref="FD142:FD144" si="1929">IFERROR(VLOOKUP(EX117,$B$116:$F$119,5,0),0)</f>
        <v>0</v>
      </c>
      <c r="FE142" s="398">
        <f t="shared" ref="FE142:FE144" si="1930">IFERROR(VLOOKUP(EV117,$D$116:$G$119,4,0),0)</f>
        <v>0</v>
      </c>
      <c r="FF142" s="398">
        <f t="shared" ref="FF142:FF144" si="1931">IFERROR(VLOOKUP(EX117,$D$116:$G$119,4,0),0)</f>
        <v>0</v>
      </c>
      <c r="FG142" s="399"/>
      <c r="FI142" s="4"/>
      <c r="FJ142" s="4"/>
      <c r="FK142" s="4"/>
      <c r="FL142" s="398"/>
      <c r="FM142" s="398"/>
      <c r="FN142" s="398"/>
      <c r="FO142" s="398">
        <f t="shared" ref="FO142:FO144" si="1932">(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33">IFERROR(VLOOKUP(FI117,$B$116:$F$119,5,0),0)</f>
        <v>0</v>
      </c>
      <c r="FQ142" s="398">
        <f t="shared" ref="FQ142:FQ144" si="1934">IFERROR(VLOOKUP(FK117,$B$116:$F$119,5,0),0)</f>
        <v>0</v>
      </c>
      <c r="FR142" s="398">
        <f t="shared" ref="FR142:FR144" si="1935">IFERROR(VLOOKUP(FI117,$D$116:$G$119,4,0),0)</f>
        <v>0</v>
      </c>
      <c r="FS142" s="398">
        <f t="shared" ref="FS142:FS144" si="1936">IFERROR(VLOOKUP(FK117,$D$116:$G$119,4,0),0)</f>
        <v>0</v>
      </c>
      <c r="FT142" s="399"/>
      <c r="FV142" s="4"/>
      <c r="FW142" s="4"/>
      <c r="FX142" s="4"/>
      <c r="FY142" s="398"/>
      <c r="FZ142" s="398"/>
      <c r="GA142" s="398"/>
      <c r="GB142" s="398">
        <f t="shared" ref="GB142:GB144" si="1937">(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38">IFERROR(VLOOKUP(FV117,$B$116:$F$119,5,0),0)</f>
        <v>0</v>
      </c>
      <c r="GD142" s="398">
        <f t="shared" ref="GD142:GD144" si="1939">IFERROR(VLOOKUP(FX117,$B$116:$F$119,5,0),0)</f>
        <v>0</v>
      </c>
      <c r="GE142" s="398">
        <f t="shared" ref="GE142:GE144" si="1940">IFERROR(VLOOKUP(FV117,$D$116:$G$119,4,0),0)</f>
        <v>0</v>
      </c>
      <c r="GF142" s="398">
        <f t="shared" ref="GF142:GF144" si="1941">IFERROR(VLOOKUP(FX117,$D$116:$G$119,4,0),0)</f>
        <v>0</v>
      </c>
      <c r="GG142" s="399"/>
      <c r="GI142" s="4"/>
      <c r="GJ142" s="4"/>
      <c r="GK142" s="4"/>
      <c r="GL142" s="398"/>
      <c r="GM142" s="398"/>
      <c r="GN142" s="398"/>
      <c r="GO142" s="398">
        <f t="shared" ref="GO142:GO144" si="1942">(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43">IFERROR(VLOOKUP(GI117,$B$116:$F$119,5,0),0)</f>
        <v>0</v>
      </c>
      <c r="GQ142" s="398">
        <f t="shared" ref="GQ142:GQ144" si="1944">IFERROR(VLOOKUP(GK117,$B$116:$F$119,5,0),0)</f>
        <v>0</v>
      </c>
      <c r="GR142" s="398">
        <f t="shared" ref="GR142:GR144" si="1945">IFERROR(VLOOKUP(GI117,$D$116:$G$119,4,0),0)</f>
        <v>0</v>
      </c>
      <c r="GS142" s="398">
        <f t="shared" ref="GS142:GS144" si="1946">IFERROR(VLOOKUP(GK117,$D$116:$G$119,4,0),0)</f>
        <v>0</v>
      </c>
      <c r="GT142" s="399"/>
      <c r="GV142" s="4"/>
      <c r="GW142" s="4"/>
      <c r="GX142" s="4"/>
      <c r="GY142" s="398"/>
      <c r="GZ142" s="398"/>
      <c r="HA142" s="398"/>
      <c r="HB142" s="398">
        <f t="shared" ref="HB142:HB144" si="1947">(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48">IFERROR(VLOOKUP(GV117,$B$116:$F$119,5,0),0)</f>
        <v>0</v>
      </c>
      <c r="HD142" s="398">
        <f t="shared" ref="HD142:HD144" si="1949">IFERROR(VLOOKUP(GX117,$B$116:$F$119,5,0),0)</f>
        <v>0</v>
      </c>
      <c r="HE142" s="398">
        <f t="shared" ref="HE142:HE144" si="1950">IFERROR(VLOOKUP(GV117,$D$116:$G$119,4,0),0)</f>
        <v>0</v>
      </c>
      <c r="HF142" s="398">
        <f t="shared" ref="HF142:HF144" si="1951">IFERROR(VLOOKUP(GX117,$D$116:$G$119,4,0),0)</f>
        <v>0</v>
      </c>
      <c r="HG142" s="399"/>
      <c r="HI142" s="4"/>
      <c r="HJ142" s="4"/>
      <c r="HK142" s="4"/>
      <c r="HL142" s="398"/>
      <c r="HM142" s="398"/>
      <c r="HN142" s="398"/>
      <c r="HO142" s="398">
        <f t="shared" ref="HO142:HO144" si="1952">(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53">IFERROR(VLOOKUP(HI117,$B$116:$F$119,5,0),0)</f>
        <v>0</v>
      </c>
      <c r="HQ142" s="398">
        <f t="shared" ref="HQ142:HQ144" si="1954">IFERROR(VLOOKUP(HK117,$B$116:$F$119,5,0),0)</f>
        <v>0</v>
      </c>
      <c r="HR142" s="398">
        <f t="shared" ref="HR142:HR144" si="1955">IFERROR(VLOOKUP(HI117,$D$116:$G$119,4,0),0)</f>
        <v>0</v>
      </c>
      <c r="HS142" s="398">
        <f t="shared" ref="HS142:HS144" si="1956">IFERROR(VLOOKUP(HK117,$D$116:$G$119,4,0),0)</f>
        <v>0</v>
      </c>
      <c r="HT142" s="399"/>
      <c r="HV142" s="4"/>
      <c r="HW142" s="4"/>
      <c r="HX142" s="4"/>
      <c r="HY142" s="398"/>
      <c r="HZ142" s="398"/>
      <c r="IA142" s="398"/>
      <c r="IB142" s="398">
        <f t="shared" ref="IB142:IB144" si="1957">(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58">IFERROR(VLOOKUP(HV117,$B$116:$F$119,5,0),0)</f>
        <v>0</v>
      </c>
      <c r="ID142" s="398">
        <f t="shared" ref="ID142:ID144" si="1959">IFERROR(VLOOKUP(HX117,$B$116:$F$119,5,0),0)</f>
        <v>0</v>
      </c>
      <c r="IE142" s="398">
        <f t="shared" ref="IE142:IE144" si="1960">IFERROR(VLOOKUP(HV117,$D$116:$G$119,4,0),0)</f>
        <v>0</v>
      </c>
      <c r="IF142" s="398">
        <f t="shared" ref="IF142:IF144" si="1961">IFERROR(VLOOKUP(HX117,$D$116:$G$119,4,0),0)</f>
        <v>0</v>
      </c>
      <c r="IG142" s="399"/>
      <c r="II142" s="4"/>
      <c r="IJ142" s="4"/>
      <c r="IK142" s="4"/>
      <c r="IL142" s="398"/>
      <c r="IM142" s="398"/>
      <c r="IN142" s="398"/>
      <c r="IO142" s="398">
        <f t="shared" ref="IO142:IO144" si="1962">(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63">IFERROR(VLOOKUP(II117,$B$116:$F$119,5,0),0)</f>
        <v>0</v>
      </c>
      <c r="IQ142" s="398">
        <f t="shared" ref="IQ142:IQ144" si="1964">IFERROR(VLOOKUP(IK117,$B$116:$F$119,5,0),0)</f>
        <v>0</v>
      </c>
      <c r="IR142" s="398">
        <f t="shared" ref="IR142:IR144" si="1965">IFERROR(VLOOKUP(II117,$D$116:$G$119,4,0),0)</f>
        <v>0</v>
      </c>
      <c r="IS142" s="398">
        <f t="shared" ref="IS142:IS144" si="1966">IFERROR(VLOOKUP(IK117,$D$116:$G$119,4,0),0)</f>
        <v>0</v>
      </c>
      <c r="IT142" s="399"/>
      <c r="IV142" s="4"/>
      <c r="IW142" s="4"/>
      <c r="IX142" s="4"/>
      <c r="IY142" s="398"/>
      <c r="IZ142" s="398"/>
      <c r="JA142" s="398"/>
      <c r="JB142" s="398">
        <f t="shared" ref="JB142:JB144" si="1967">(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68">IFERROR(VLOOKUP(IV117,$B$116:$F$119,5,0),0)</f>
        <v>0</v>
      </c>
      <c r="JD142" s="398">
        <f t="shared" ref="JD142:JD144" si="1969">IFERROR(VLOOKUP(IX117,$B$116:$F$119,5,0),0)</f>
        <v>0</v>
      </c>
      <c r="JE142" s="398">
        <f t="shared" ref="JE142:JE144" si="1970">IFERROR(VLOOKUP(IV117,$D$116:$G$119,4,0),0)</f>
        <v>0</v>
      </c>
      <c r="JF142" s="398">
        <f t="shared" ref="JF142:JF144" si="1971">IFERROR(VLOOKUP(IX117,$D$116:$G$119,4,0),0)</f>
        <v>0</v>
      </c>
      <c r="JG142" s="399"/>
      <c r="JI142" s="4"/>
      <c r="JJ142" s="4"/>
      <c r="JK142" s="4"/>
      <c r="JL142" s="398"/>
      <c r="JM142" s="398"/>
      <c r="JN142" s="398"/>
      <c r="JO142" s="398">
        <f t="shared" ref="JO142:JO144" si="1972">(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73">IFERROR(VLOOKUP(JI117,$B$116:$F$119,5,0),0)</f>
        <v>0</v>
      </c>
      <c r="JQ142" s="398">
        <f t="shared" ref="JQ142:JQ144" si="1974">IFERROR(VLOOKUP(JK117,$B$116:$F$119,5,0),0)</f>
        <v>0</v>
      </c>
      <c r="JR142" s="398">
        <f t="shared" ref="JR142:JR144" si="1975">IFERROR(VLOOKUP(JI117,$D$116:$G$119,4,0),0)</f>
        <v>0</v>
      </c>
      <c r="JS142" s="398">
        <f t="shared" ref="JS142:JS144" si="1976">IFERROR(VLOOKUP(JK117,$D$116:$G$119,4,0),0)</f>
        <v>0</v>
      </c>
      <c r="JT142" s="399"/>
      <c r="JV142" s="4"/>
      <c r="JW142" s="4"/>
      <c r="JX142" s="4"/>
      <c r="JY142" s="398"/>
      <c r="JZ142" s="398"/>
      <c r="KA142" s="398"/>
      <c r="KB142" s="398">
        <f t="shared" ref="KB142:KB144" si="1977">(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78">IFERROR(VLOOKUP(JV117,$B$116:$F$119,5,0),0)</f>
        <v>0</v>
      </c>
      <c r="KD142" s="398">
        <f t="shared" ref="KD142:KD144" si="1979">IFERROR(VLOOKUP(JX117,$B$116:$F$119,5,0),0)</f>
        <v>0</v>
      </c>
      <c r="KE142" s="398">
        <f t="shared" ref="KE142:KE144" si="1980">IFERROR(VLOOKUP(JV117,$D$116:$G$119,4,0),0)</f>
        <v>0</v>
      </c>
      <c r="KF142" s="398">
        <f t="shared" ref="KF142:KF144" si="1981">IFERROR(VLOOKUP(JX117,$D$116:$G$119,4,0),0)</f>
        <v>0</v>
      </c>
      <c r="KG142" s="399"/>
      <c r="KI142" s="4"/>
      <c r="KJ142" s="4"/>
      <c r="KK142" s="4"/>
      <c r="KL142" s="398"/>
      <c r="KM142" s="398"/>
      <c r="KN142" s="398"/>
      <c r="KO142" s="398">
        <f t="shared" ref="KO142:KO144" si="1982">(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83">IFERROR(VLOOKUP(KI117,$B$116:$F$119,5,0),0)</f>
        <v>0</v>
      </c>
      <c r="KQ142" s="398">
        <f t="shared" ref="KQ142:KQ144" si="1984">IFERROR(VLOOKUP(KK117,$B$116:$F$119,5,0),0)</f>
        <v>0</v>
      </c>
      <c r="KR142" s="398">
        <f t="shared" ref="KR142:KR144" si="1985">IFERROR(VLOOKUP(KI117,$D$116:$G$119,4,0),0)</f>
        <v>0</v>
      </c>
      <c r="KS142" s="398">
        <f t="shared" ref="KS142:KS144" si="1986">IFERROR(VLOOKUP(KK117,$D$116:$G$119,4,0),0)</f>
        <v>0</v>
      </c>
      <c r="KT142" s="399"/>
      <c r="KV142" s="4"/>
      <c r="KW142" s="4"/>
      <c r="KX142" s="4"/>
      <c r="KY142" s="398"/>
      <c r="KZ142" s="398"/>
      <c r="LA142" s="398"/>
      <c r="LB142" s="398">
        <f t="shared" ref="LB142:LB144" si="1987">(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88">IFERROR(VLOOKUP(KV117,$B$116:$F$119,5,0),0)</f>
        <v>0</v>
      </c>
      <c r="LD142" s="398">
        <f t="shared" ref="LD142:LD144" si="1989">IFERROR(VLOOKUP(KX117,$B$116:$F$119,5,0),0)</f>
        <v>0</v>
      </c>
      <c r="LE142" s="398">
        <f t="shared" ref="LE142:LE144" si="1990">IFERROR(VLOOKUP(KV117,$D$116:$G$119,4,0),0)</f>
        <v>0</v>
      </c>
      <c r="LF142" s="398">
        <f t="shared" ref="LF142:LF144" si="1991">IFERROR(VLOOKUP(KX117,$D$116:$G$119,4,0),0)</f>
        <v>0</v>
      </c>
      <c r="LG142" s="399"/>
      <c r="LI142" s="4"/>
      <c r="LJ142" s="4"/>
      <c r="LK142" s="4"/>
      <c r="LL142" s="398"/>
      <c r="LM142" s="398"/>
      <c r="LN142" s="398"/>
      <c r="LO142" s="398">
        <f t="shared" ref="LO142:LO144" si="1992">(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93">IFERROR(VLOOKUP(LI117,$B$116:$F$119,5,0),0)</f>
        <v>0</v>
      </c>
      <c r="LQ142" s="398">
        <f t="shared" ref="LQ142:LQ144" si="1994">IFERROR(VLOOKUP(LK117,$B$116:$F$119,5,0),0)</f>
        <v>0</v>
      </c>
      <c r="LR142" s="398">
        <f t="shared" ref="LR142:LR144" si="1995">IFERROR(VLOOKUP(LI117,$D$116:$G$119,4,0),0)</f>
        <v>0</v>
      </c>
      <c r="LS142" s="398">
        <f t="shared" ref="LS142:LS144" si="1996">IFERROR(VLOOKUP(LK117,$D$116:$G$119,4,0),0)</f>
        <v>0</v>
      </c>
      <c r="LT142" s="399"/>
      <c r="LV142" s="4"/>
      <c r="LW142" s="4"/>
      <c r="LX142" s="4"/>
      <c r="LY142" s="398"/>
      <c r="LZ142" s="398"/>
      <c r="MA142" s="398"/>
      <c r="MB142" s="398">
        <f t="shared" ref="MB142:MB144" si="1997">(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98">IFERROR(VLOOKUP(LV117,$B$116:$F$119,5,0),0)</f>
        <v>0</v>
      </c>
      <c r="MD142" s="398">
        <f t="shared" ref="MD142:MD144" si="1999">IFERROR(VLOOKUP(LX117,$B$116:$F$119,5,0),0)</f>
        <v>0</v>
      </c>
      <c r="ME142" s="398">
        <f t="shared" ref="ME142:ME144" si="2000">IFERROR(VLOOKUP(LV117,$D$116:$G$119,4,0),0)</f>
        <v>0</v>
      </c>
      <c r="MF142" s="398">
        <f t="shared" ref="MF142:MF144" si="2001">IFERROR(VLOOKUP(LX117,$D$116:$G$119,4,0),0)</f>
        <v>0</v>
      </c>
      <c r="MG142" s="399"/>
    </row>
    <row r="143" spans="2:345">
      <c r="I143" s="4"/>
      <c r="J143" s="4"/>
      <c r="K143" s="4"/>
      <c r="L143" s="398"/>
      <c r="M143" s="398"/>
      <c r="N143" s="398"/>
      <c r="O143" s="398">
        <f t="shared" si="1872"/>
        <v>1</v>
      </c>
      <c r="P143" s="398">
        <f t="shared" si="1873"/>
        <v>0</v>
      </c>
      <c r="Q143" s="398">
        <f t="shared" si="1874"/>
        <v>0</v>
      </c>
      <c r="R143" s="398">
        <f t="shared" si="1875"/>
        <v>0</v>
      </c>
      <c r="S143" s="398">
        <f t="shared" si="1876"/>
        <v>0</v>
      </c>
      <c r="T143" s="399"/>
      <c r="V143" s="4"/>
      <c r="W143" s="4"/>
      <c r="X143" s="4"/>
      <c r="Y143" s="398"/>
      <c r="Z143" s="398"/>
      <c r="AA143" s="398"/>
      <c r="AB143" s="398">
        <f t="shared" si="1877"/>
        <v>1</v>
      </c>
      <c r="AC143" s="398">
        <f t="shared" si="1878"/>
        <v>0</v>
      </c>
      <c r="AD143" s="398">
        <f t="shared" si="1879"/>
        <v>0</v>
      </c>
      <c r="AE143" s="398">
        <f t="shared" si="1880"/>
        <v>0</v>
      </c>
      <c r="AF143" s="398">
        <f t="shared" si="1881"/>
        <v>0</v>
      </c>
      <c r="AG143" s="399"/>
      <c r="AI143" s="4"/>
      <c r="AJ143" s="4"/>
      <c r="AK143" s="4"/>
      <c r="AL143" s="398"/>
      <c r="AM143" s="398"/>
      <c r="AN143" s="398"/>
      <c r="AO143" s="398">
        <f t="shared" si="1882"/>
        <v>1</v>
      </c>
      <c r="AP143" s="398">
        <f t="shared" si="1883"/>
        <v>0</v>
      </c>
      <c r="AQ143" s="398">
        <f t="shared" si="1884"/>
        <v>0</v>
      </c>
      <c r="AR143" s="398">
        <f t="shared" si="1885"/>
        <v>0</v>
      </c>
      <c r="AS143" s="398">
        <f t="shared" si="1886"/>
        <v>0</v>
      </c>
      <c r="AT143" s="399"/>
      <c r="AV143" s="4"/>
      <c r="AW143" s="4"/>
      <c r="AX143" s="4"/>
      <c r="AY143" s="398"/>
      <c r="AZ143" s="398"/>
      <c r="BA143" s="398"/>
      <c r="BB143" s="398">
        <f t="shared" si="1887"/>
        <v>1</v>
      </c>
      <c r="BC143" s="398">
        <f t="shared" si="1888"/>
        <v>0</v>
      </c>
      <c r="BD143" s="398">
        <f t="shared" si="1889"/>
        <v>0</v>
      </c>
      <c r="BE143" s="398">
        <f t="shared" si="1890"/>
        <v>0</v>
      </c>
      <c r="BF143" s="398">
        <f t="shared" si="1891"/>
        <v>0</v>
      </c>
      <c r="BG143" s="399"/>
      <c r="BI143" s="4"/>
      <c r="BJ143" s="4"/>
      <c r="BK143" s="4"/>
      <c r="BL143" s="398"/>
      <c r="BM143" s="398"/>
      <c r="BN143" s="398"/>
      <c r="BO143" s="398">
        <f t="shared" si="1892"/>
        <v>1</v>
      </c>
      <c r="BP143" s="398">
        <f t="shared" si="1893"/>
        <v>0</v>
      </c>
      <c r="BQ143" s="398">
        <f t="shared" si="1894"/>
        <v>0</v>
      </c>
      <c r="BR143" s="398">
        <f t="shared" si="1895"/>
        <v>0</v>
      </c>
      <c r="BS143" s="398">
        <f t="shared" si="1896"/>
        <v>0</v>
      </c>
      <c r="BT143" s="399"/>
      <c r="BV143" s="4"/>
      <c r="BW143" s="4"/>
      <c r="BX143" s="4"/>
      <c r="BY143" s="398"/>
      <c r="BZ143" s="398"/>
      <c r="CA143" s="398"/>
      <c r="CB143" s="398">
        <f t="shared" si="1897"/>
        <v>1</v>
      </c>
      <c r="CC143" s="398">
        <f t="shared" si="1898"/>
        <v>0</v>
      </c>
      <c r="CD143" s="398">
        <f t="shared" si="1899"/>
        <v>0</v>
      </c>
      <c r="CE143" s="398">
        <f t="shared" si="1900"/>
        <v>0</v>
      </c>
      <c r="CF143" s="398">
        <f t="shared" si="1901"/>
        <v>0</v>
      </c>
      <c r="CG143" s="399"/>
      <c r="CI143" s="4"/>
      <c r="CJ143" s="4"/>
      <c r="CK143" s="4"/>
      <c r="CL143" s="398"/>
      <c r="CM143" s="398"/>
      <c r="CN143" s="398"/>
      <c r="CO143" s="398">
        <f t="shared" si="1902"/>
        <v>1</v>
      </c>
      <c r="CP143" s="398">
        <f t="shared" si="1903"/>
        <v>0</v>
      </c>
      <c r="CQ143" s="398">
        <f t="shared" si="1904"/>
        <v>0</v>
      </c>
      <c r="CR143" s="398">
        <f t="shared" si="1905"/>
        <v>0</v>
      </c>
      <c r="CS143" s="398">
        <f t="shared" si="1906"/>
        <v>0</v>
      </c>
      <c r="CT143" s="399"/>
      <c r="CV143" s="4"/>
      <c r="CW143" s="4"/>
      <c r="CX143" s="4"/>
      <c r="CY143" s="398"/>
      <c r="CZ143" s="398"/>
      <c r="DA143" s="398"/>
      <c r="DB143" s="398">
        <f t="shared" si="1907"/>
        <v>1</v>
      </c>
      <c r="DC143" s="398">
        <f t="shared" si="1908"/>
        <v>0</v>
      </c>
      <c r="DD143" s="398">
        <f t="shared" si="1909"/>
        <v>0</v>
      </c>
      <c r="DE143" s="398">
        <f t="shared" si="1910"/>
        <v>0</v>
      </c>
      <c r="DF143" s="398">
        <f t="shared" si="1911"/>
        <v>0</v>
      </c>
      <c r="DG143" s="399"/>
      <c r="DI143" s="4"/>
      <c r="DJ143" s="4"/>
      <c r="DK143" s="4"/>
      <c r="DL143" s="398"/>
      <c r="DM143" s="398"/>
      <c r="DN143" s="398"/>
      <c r="DO143" s="398">
        <f t="shared" si="1912"/>
        <v>1</v>
      </c>
      <c r="DP143" s="398">
        <f t="shared" si="1913"/>
        <v>0</v>
      </c>
      <c r="DQ143" s="398">
        <f t="shared" si="1914"/>
        <v>0</v>
      </c>
      <c r="DR143" s="398">
        <f t="shared" si="1915"/>
        <v>0</v>
      </c>
      <c r="DS143" s="398">
        <f t="shared" si="1916"/>
        <v>0</v>
      </c>
      <c r="DT143" s="399"/>
      <c r="DV143" s="4"/>
      <c r="DW143" s="4"/>
      <c r="DX143" s="4"/>
      <c r="DY143" s="398"/>
      <c r="DZ143" s="398"/>
      <c r="EA143" s="398"/>
      <c r="EB143" s="398">
        <f t="shared" si="1917"/>
        <v>1</v>
      </c>
      <c r="EC143" s="398">
        <f t="shared" si="1918"/>
        <v>0</v>
      </c>
      <c r="ED143" s="398">
        <f t="shared" si="1919"/>
        <v>0</v>
      </c>
      <c r="EE143" s="398">
        <f t="shared" si="1920"/>
        <v>0</v>
      </c>
      <c r="EF143" s="398">
        <f t="shared" si="1921"/>
        <v>0</v>
      </c>
      <c r="EG143" s="399"/>
      <c r="EI143" s="4"/>
      <c r="EJ143" s="4"/>
      <c r="EK143" s="4"/>
      <c r="EL143" s="398"/>
      <c r="EM143" s="398"/>
      <c r="EN143" s="398"/>
      <c r="EO143" s="398">
        <f t="shared" si="1922"/>
        <v>1</v>
      </c>
      <c r="EP143" s="398">
        <f t="shared" si="1923"/>
        <v>0</v>
      </c>
      <c r="EQ143" s="398">
        <f t="shared" si="1924"/>
        <v>0</v>
      </c>
      <c r="ER143" s="398">
        <f t="shared" si="1925"/>
        <v>0</v>
      </c>
      <c r="ES143" s="398">
        <f t="shared" si="1926"/>
        <v>0</v>
      </c>
      <c r="ET143" s="399"/>
      <c r="EV143" s="4"/>
      <c r="EW143" s="4"/>
      <c r="EX143" s="4"/>
      <c r="EY143" s="398"/>
      <c r="EZ143" s="398"/>
      <c r="FA143" s="398"/>
      <c r="FB143" s="398">
        <f t="shared" si="1927"/>
        <v>1</v>
      </c>
      <c r="FC143" s="398">
        <f t="shared" si="1928"/>
        <v>0</v>
      </c>
      <c r="FD143" s="398">
        <f t="shared" si="1929"/>
        <v>0</v>
      </c>
      <c r="FE143" s="398">
        <f t="shared" si="1930"/>
        <v>0</v>
      </c>
      <c r="FF143" s="398">
        <f t="shared" si="1931"/>
        <v>0</v>
      </c>
      <c r="FG143" s="399"/>
      <c r="FI143" s="4"/>
      <c r="FJ143" s="4"/>
      <c r="FK143" s="4"/>
      <c r="FL143" s="398"/>
      <c r="FM143" s="398"/>
      <c r="FN143" s="398"/>
      <c r="FO143" s="398">
        <f t="shared" si="1932"/>
        <v>1</v>
      </c>
      <c r="FP143" s="398">
        <f t="shared" si="1933"/>
        <v>0</v>
      </c>
      <c r="FQ143" s="398">
        <f t="shared" si="1934"/>
        <v>0</v>
      </c>
      <c r="FR143" s="398">
        <f t="shared" si="1935"/>
        <v>0</v>
      </c>
      <c r="FS143" s="398">
        <f t="shared" si="1936"/>
        <v>0</v>
      </c>
      <c r="FT143" s="399"/>
      <c r="FV143" s="4"/>
      <c r="FW143" s="4"/>
      <c r="FX143" s="4"/>
      <c r="FY143" s="398"/>
      <c r="FZ143" s="398"/>
      <c r="GA143" s="398"/>
      <c r="GB143" s="398">
        <f t="shared" si="1937"/>
        <v>1</v>
      </c>
      <c r="GC143" s="398">
        <f t="shared" si="1938"/>
        <v>0</v>
      </c>
      <c r="GD143" s="398">
        <f t="shared" si="1939"/>
        <v>0</v>
      </c>
      <c r="GE143" s="398">
        <f t="shared" si="1940"/>
        <v>0</v>
      </c>
      <c r="GF143" s="398">
        <f t="shared" si="1941"/>
        <v>0</v>
      </c>
      <c r="GG143" s="399"/>
      <c r="GI143" s="4"/>
      <c r="GJ143" s="4"/>
      <c r="GK143" s="4"/>
      <c r="GL143" s="398"/>
      <c r="GM143" s="398"/>
      <c r="GN143" s="398"/>
      <c r="GO143" s="398">
        <f t="shared" si="1942"/>
        <v>1</v>
      </c>
      <c r="GP143" s="398">
        <f t="shared" si="1943"/>
        <v>0</v>
      </c>
      <c r="GQ143" s="398">
        <f t="shared" si="1944"/>
        <v>0</v>
      </c>
      <c r="GR143" s="398">
        <f t="shared" si="1945"/>
        <v>0</v>
      </c>
      <c r="GS143" s="398">
        <f t="shared" si="1946"/>
        <v>0</v>
      </c>
      <c r="GT143" s="399"/>
      <c r="GV143" s="4"/>
      <c r="GW143" s="4"/>
      <c r="GX143" s="4"/>
      <c r="GY143" s="398"/>
      <c r="GZ143" s="398"/>
      <c r="HA143" s="398"/>
      <c r="HB143" s="398">
        <f t="shared" si="1947"/>
        <v>1</v>
      </c>
      <c r="HC143" s="398">
        <f t="shared" si="1948"/>
        <v>0</v>
      </c>
      <c r="HD143" s="398">
        <f t="shared" si="1949"/>
        <v>0</v>
      </c>
      <c r="HE143" s="398">
        <f t="shared" si="1950"/>
        <v>0</v>
      </c>
      <c r="HF143" s="398">
        <f t="shared" si="1951"/>
        <v>0</v>
      </c>
      <c r="HG143" s="399"/>
      <c r="HI143" s="4"/>
      <c r="HJ143" s="4"/>
      <c r="HK143" s="4"/>
      <c r="HL143" s="398"/>
      <c r="HM143" s="398"/>
      <c r="HN143" s="398"/>
      <c r="HO143" s="398">
        <f t="shared" si="1952"/>
        <v>1</v>
      </c>
      <c r="HP143" s="398">
        <f t="shared" si="1953"/>
        <v>0</v>
      </c>
      <c r="HQ143" s="398">
        <f t="shared" si="1954"/>
        <v>0</v>
      </c>
      <c r="HR143" s="398">
        <f t="shared" si="1955"/>
        <v>0</v>
      </c>
      <c r="HS143" s="398">
        <f t="shared" si="1956"/>
        <v>0</v>
      </c>
      <c r="HT143" s="399"/>
      <c r="HV143" s="4"/>
      <c r="HW143" s="4"/>
      <c r="HX143" s="4"/>
      <c r="HY143" s="398"/>
      <c r="HZ143" s="398"/>
      <c r="IA143" s="398"/>
      <c r="IB143" s="398">
        <f t="shared" si="1957"/>
        <v>1</v>
      </c>
      <c r="IC143" s="398">
        <f t="shared" si="1958"/>
        <v>0</v>
      </c>
      <c r="ID143" s="398">
        <f t="shared" si="1959"/>
        <v>0</v>
      </c>
      <c r="IE143" s="398">
        <f t="shared" si="1960"/>
        <v>0</v>
      </c>
      <c r="IF143" s="398">
        <f t="shared" si="1961"/>
        <v>0</v>
      </c>
      <c r="IG143" s="399"/>
      <c r="II143" s="4"/>
      <c r="IJ143" s="4"/>
      <c r="IK143" s="4"/>
      <c r="IL143" s="398"/>
      <c r="IM143" s="398"/>
      <c r="IN143" s="398"/>
      <c r="IO143" s="398">
        <f t="shared" si="1962"/>
        <v>1</v>
      </c>
      <c r="IP143" s="398">
        <f t="shared" si="1963"/>
        <v>0</v>
      </c>
      <c r="IQ143" s="398">
        <f t="shared" si="1964"/>
        <v>0</v>
      </c>
      <c r="IR143" s="398">
        <f t="shared" si="1965"/>
        <v>0</v>
      </c>
      <c r="IS143" s="398">
        <f t="shared" si="1966"/>
        <v>0</v>
      </c>
      <c r="IT143" s="399"/>
      <c r="IV143" s="4"/>
      <c r="IW143" s="4"/>
      <c r="IX143" s="4"/>
      <c r="IY143" s="398"/>
      <c r="IZ143" s="398"/>
      <c r="JA143" s="398"/>
      <c r="JB143" s="398">
        <f t="shared" si="1967"/>
        <v>1</v>
      </c>
      <c r="JC143" s="398">
        <f t="shared" si="1968"/>
        <v>0</v>
      </c>
      <c r="JD143" s="398">
        <f t="shared" si="1969"/>
        <v>0</v>
      </c>
      <c r="JE143" s="398">
        <f t="shared" si="1970"/>
        <v>0</v>
      </c>
      <c r="JF143" s="398">
        <f t="shared" si="1971"/>
        <v>0</v>
      </c>
      <c r="JG143" s="399"/>
      <c r="JI143" s="4"/>
      <c r="JJ143" s="4"/>
      <c r="JK143" s="4"/>
      <c r="JL143" s="398"/>
      <c r="JM143" s="398"/>
      <c r="JN143" s="398"/>
      <c r="JO143" s="398">
        <f t="shared" si="1972"/>
        <v>1</v>
      </c>
      <c r="JP143" s="398">
        <f t="shared" si="1973"/>
        <v>0</v>
      </c>
      <c r="JQ143" s="398">
        <f t="shared" si="1974"/>
        <v>0</v>
      </c>
      <c r="JR143" s="398">
        <f t="shared" si="1975"/>
        <v>0</v>
      </c>
      <c r="JS143" s="398">
        <f t="shared" si="1976"/>
        <v>0</v>
      </c>
      <c r="JT143" s="399"/>
      <c r="JV143" s="4"/>
      <c r="JW143" s="4"/>
      <c r="JX143" s="4"/>
      <c r="JY143" s="398"/>
      <c r="JZ143" s="398"/>
      <c r="KA143" s="398"/>
      <c r="KB143" s="398">
        <f t="shared" si="1977"/>
        <v>1</v>
      </c>
      <c r="KC143" s="398">
        <f t="shared" si="1978"/>
        <v>0</v>
      </c>
      <c r="KD143" s="398">
        <f t="shared" si="1979"/>
        <v>0</v>
      </c>
      <c r="KE143" s="398">
        <f t="shared" si="1980"/>
        <v>0</v>
      </c>
      <c r="KF143" s="398">
        <f t="shared" si="1981"/>
        <v>0</v>
      </c>
      <c r="KG143" s="399"/>
      <c r="KI143" s="4"/>
      <c r="KJ143" s="4"/>
      <c r="KK143" s="4"/>
      <c r="KL143" s="398"/>
      <c r="KM143" s="398"/>
      <c r="KN143" s="398"/>
      <c r="KO143" s="398">
        <f t="shared" si="1982"/>
        <v>1</v>
      </c>
      <c r="KP143" s="398">
        <f t="shared" si="1983"/>
        <v>0</v>
      </c>
      <c r="KQ143" s="398">
        <f t="shared" si="1984"/>
        <v>0</v>
      </c>
      <c r="KR143" s="398">
        <f t="shared" si="1985"/>
        <v>0</v>
      </c>
      <c r="KS143" s="398">
        <f t="shared" si="1986"/>
        <v>0</v>
      </c>
      <c r="KT143" s="399"/>
      <c r="KV143" s="4"/>
      <c r="KW143" s="4"/>
      <c r="KX143" s="4"/>
      <c r="KY143" s="398"/>
      <c r="KZ143" s="398"/>
      <c r="LA143" s="398"/>
      <c r="LB143" s="398">
        <f t="shared" si="1987"/>
        <v>1</v>
      </c>
      <c r="LC143" s="398">
        <f t="shared" si="1988"/>
        <v>0</v>
      </c>
      <c r="LD143" s="398">
        <f t="shared" si="1989"/>
        <v>0</v>
      </c>
      <c r="LE143" s="398">
        <f t="shared" si="1990"/>
        <v>0</v>
      </c>
      <c r="LF143" s="398">
        <f t="shared" si="1991"/>
        <v>0</v>
      </c>
      <c r="LG143" s="399"/>
      <c r="LI143" s="4"/>
      <c r="LJ143" s="4"/>
      <c r="LK143" s="4"/>
      <c r="LL143" s="398"/>
      <c r="LM143" s="398"/>
      <c r="LN143" s="398"/>
      <c r="LO143" s="398">
        <f t="shared" si="1992"/>
        <v>1</v>
      </c>
      <c r="LP143" s="398">
        <f t="shared" si="1993"/>
        <v>0</v>
      </c>
      <c r="LQ143" s="398">
        <f t="shared" si="1994"/>
        <v>0</v>
      </c>
      <c r="LR143" s="398">
        <f t="shared" si="1995"/>
        <v>0</v>
      </c>
      <c r="LS143" s="398">
        <f t="shared" si="1996"/>
        <v>0</v>
      </c>
      <c r="LT143" s="399"/>
      <c r="LV143" s="4"/>
      <c r="LW143" s="4"/>
      <c r="LX143" s="4"/>
      <c r="LY143" s="398"/>
      <c r="LZ143" s="398"/>
      <c r="MA143" s="398"/>
      <c r="MB143" s="398">
        <f t="shared" si="1997"/>
        <v>1</v>
      </c>
      <c r="MC143" s="398">
        <f t="shared" si="1998"/>
        <v>0</v>
      </c>
      <c r="MD143" s="398">
        <f t="shared" si="1999"/>
        <v>0</v>
      </c>
      <c r="ME143" s="398">
        <f t="shared" si="2000"/>
        <v>0</v>
      </c>
      <c r="MF143" s="398">
        <f t="shared" si="2001"/>
        <v>0</v>
      </c>
      <c r="MG143" s="399"/>
    </row>
    <row r="144" spans="2:345">
      <c r="I144" s="4"/>
      <c r="J144" s="4"/>
      <c r="K144" s="4"/>
      <c r="L144" s="398"/>
      <c r="M144" s="398"/>
      <c r="N144" s="398"/>
      <c r="O144" s="398">
        <f t="shared" si="1872"/>
        <v>1</v>
      </c>
      <c r="P144" s="398">
        <f t="shared" si="1873"/>
        <v>0</v>
      </c>
      <c r="Q144" s="398">
        <f t="shared" si="1874"/>
        <v>0</v>
      </c>
      <c r="R144" s="398">
        <f t="shared" si="1875"/>
        <v>0</v>
      </c>
      <c r="S144" s="398">
        <f t="shared" si="1876"/>
        <v>0</v>
      </c>
      <c r="T144" s="399"/>
      <c r="V144" s="4"/>
      <c r="W144" s="4"/>
      <c r="X144" s="4"/>
      <c r="Y144" s="398"/>
      <c r="Z144" s="398"/>
      <c r="AA144" s="398"/>
      <c r="AB144" s="398">
        <f t="shared" si="1877"/>
        <v>1</v>
      </c>
      <c r="AC144" s="398">
        <f t="shared" si="1878"/>
        <v>0</v>
      </c>
      <c r="AD144" s="398">
        <f t="shared" si="1879"/>
        <v>0</v>
      </c>
      <c r="AE144" s="398">
        <f t="shared" si="1880"/>
        <v>0</v>
      </c>
      <c r="AF144" s="398">
        <f t="shared" si="1881"/>
        <v>0</v>
      </c>
      <c r="AG144" s="399"/>
      <c r="AI144" s="4"/>
      <c r="AJ144" s="4"/>
      <c r="AK144" s="4"/>
      <c r="AL144" s="398"/>
      <c r="AM144" s="398"/>
      <c r="AN144" s="398"/>
      <c r="AO144" s="398">
        <f t="shared" si="1882"/>
        <v>1</v>
      </c>
      <c r="AP144" s="398">
        <f t="shared" si="1883"/>
        <v>0</v>
      </c>
      <c r="AQ144" s="398">
        <f t="shared" si="1884"/>
        <v>0</v>
      </c>
      <c r="AR144" s="398">
        <f t="shared" si="1885"/>
        <v>0</v>
      </c>
      <c r="AS144" s="398">
        <f t="shared" si="1886"/>
        <v>0</v>
      </c>
      <c r="AT144" s="399"/>
      <c r="AV144" s="4"/>
      <c r="AW144" s="4"/>
      <c r="AX144" s="4"/>
      <c r="AY144" s="398"/>
      <c r="AZ144" s="398"/>
      <c r="BA144" s="398"/>
      <c r="BB144" s="398">
        <f t="shared" si="1887"/>
        <v>1</v>
      </c>
      <c r="BC144" s="398">
        <f t="shared" si="1888"/>
        <v>0</v>
      </c>
      <c r="BD144" s="398">
        <f t="shared" si="1889"/>
        <v>0</v>
      </c>
      <c r="BE144" s="398">
        <f t="shared" si="1890"/>
        <v>0</v>
      </c>
      <c r="BF144" s="398">
        <f t="shared" si="1891"/>
        <v>0</v>
      </c>
      <c r="BG144" s="399"/>
      <c r="BI144" s="4"/>
      <c r="BJ144" s="4"/>
      <c r="BK144" s="4"/>
      <c r="BL144" s="398"/>
      <c r="BM144" s="398"/>
      <c r="BN144" s="398"/>
      <c r="BO144" s="398">
        <f t="shared" si="1892"/>
        <v>1</v>
      </c>
      <c r="BP144" s="398">
        <f t="shared" si="1893"/>
        <v>0</v>
      </c>
      <c r="BQ144" s="398">
        <f t="shared" si="1894"/>
        <v>0</v>
      </c>
      <c r="BR144" s="398">
        <f t="shared" si="1895"/>
        <v>0</v>
      </c>
      <c r="BS144" s="398">
        <f t="shared" si="1896"/>
        <v>0</v>
      </c>
      <c r="BT144" s="399"/>
      <c r="BV144" s="4"/>
      <c r="BW144" s="4"/>
      <c r="BX144" s="4"/>
      <c r="BY144" s="398"/>
      <c r="BZ144" s="398"/>
      <c r="CA144" s="398"/>
      <c r="CB144" s="398">
        <f t="shared" si="1897"/>
        <v>1</v>
      </c>
      <c r="CC144" s="398">
        <f t="shared" si="1898"/>
        <v>0</v>
      </c>
      <c r="CD144" s="398">
        <f t="shared" si="1899"/>
        <v>0</v>
      </c>
      <c r="CE144" s="398">
        <f t="shared" si="1900"/>
        <v>0</v>
      </c>
      <c r="CF144" s="398">
        <f t="shared" si="1901"/>
        <v>0</v>
      </c>
      <c r="CG144" s="399"/>
      <c r="CI144" s="4"/>
      <c r="CJ144" s="4"/>
      <c r="CK144" s="4"/>
      <c r="CL144" s="398"/>
      <c r="CM144" s="398"/>
      <c r="CN144" s="398"/>
      <c r="CO144" s="398">
        <f t="shared" si="1902"/>
        <v>1</v>
      </c>
      <c r="CP144" s="398">
        <f t="shared" si="1903"/>
        <v>0</v>
      </c>
      <c r="CQ144" s="398">
        <f t="shared" si="1904"/>
        <v>0</v>
      </c>
      <c r="CR144" s="398">
        <f t="shared" si="1905"/>
        <v>0</v>
      </c>
      <c r="CS144" s="398">
        <f t="shared" si="1906"/>
        <v>0</v>
      </c>
      <c r="CT144" s="399"/>
      <c r="CV144" s="4"/>
      <c r="CW144" s="4"/>
      <c r="CX144" s="4"/>
      <c r="CY144" s="398"/>
      <c r="CZ144" s="398"/>
      <c r="DA144" s="398"/>
      <c r="DB144" s="398">
        <f t="shared" si="1907"/>
        <v>1</v>
      </c>
      <c r="DC144" s="398">
        <f t="shared" si="1908"/>
        <v>0</v>
      </c>
      <c r="DD144" s="398">
        <f t="shared" si="1909"/>
        <v>0</v>
      </c>
      <c r="DE144" s="398">
        <f t="shared" si="1910"/>
        <v>0</v>
      </c>
      <c r="DF144" s="398">
        <f t="shared" si="1911"/>
        <v>0</v>
      </c>
      <c r="DG144" s="399"/>
      <c r="DI144" s="4"/>
      <c r="DJ144" s="4"/>
      <c r="DK144" s="4"/>
      <c r="DL144" s="398"/>
      <c r="DM144" s="398"/>
      <c r="DN144" s="398"/>
      <c r="DO144" s="398">
        <f t="shared" si="1912"/>
        <v>1</v>
      </c>
      <c r="DP144" s="398">
        <f t="shared" si="1913"/>
        <v>0</v>
      </c>
      <c r="DQ144" s="398">
        <f t="shared" si="1914"/>
        <v>0</v>
      </c>
      <c r="DR144" s="398">
        <f t="shared" si="1915"/>
        <v>0</v>
      </c>
      <c r="DS144" s="398">
        <f t="shared" si="1916"/>
        <v>0</v>
      </c>
      <c r="DT144" s="399"/>
      <c r="DV144" s="4"/>
      <c r="DW144" s="4"/>
      <c r="DX144" s="4"/>
      <c r="DY144" s="398"/>
      <c r="DZ144" s="398"/>
      <c r="EA144" s="398"/>
      <c r="EB144" s="398">
        <f t="shared" si="1917"/>
        <v>1</v>
      </c>
      <c r="EC144" s="398">
        <f t="shared" si="1918"/>
        <v>0</v>
      </c>
      <c r="ED144" s="398">
        <f t="shared" si="1919"/>
        <v>0</v>
      </c>
      <c r="EE144" s="398">
        <f t="shared" si="1920"/>
        <v>0</v>
      </c>
      <c r="EF144" s="398">
        <f t="shared" si="1921"/>
        <v>0</v>
      </c>
      <c r="EG144" s="399"/>
      <c r="EI144" s="4"/>
      <c r="EJ144" s="4"/>
      <c r="EK144" s="4"/>
      <c r="EL144" s="398"/>
      <c r="EM144" s="398"/>
      <c r="EN144" s="398"/>
      <c r="EO144" s="398">
        <f t="shared" si="1922"/>
        <v>1</v>
      </c>
      <c r="EP144" s="398">
        <f t="shared" si="1923"/>
        <v>0</v>
      </c>
      <c r="EQ144" s="398">
        <f t="shared" si="1924"/>
        <v>0</v>
      </c>
      <c r="ER144" s="398">
        <f t="shared" si="1925"/>
        <v>0</v>
      </c>
      <c r="ES144" s="398">
        <f t="shared" si="1926"/>
        <v>0</v>
      </c>
      <c r="ET144" s="399"/>
      <c r="EV144" s="4"/>
      <c r="EW144" s="4"/>
      <c r="EX144" s="4"/>
      <c r="EY144" s="398"/>
      <c r="EZ144" s="398"/>
      <c r="FA144" s="398"/>
      <c r="FB144" s="398">
        <f t="shared" si="1927"/>
        <v>1</v>
      </c>
      <c r="FC144" s="398">
        <f t="shared" si="1928"/>
        <v>0</v>
      </c>
      <c r="FD144" s="398">
        <f t="shared" si="1929"/>
        <v>0</v>
      </c>
      <c r="FE144" s="398">
        <f t="shared" si="1930"/>
        <v>0</v>
      </c>
      <c r="FF144" s="398">
        <f t="shared" si="1931"/>
        <v>0</v>
      </c>
      <c r="FG144" s="399"/>
      <c r="FI144" s="4"/>
      <c r="FJ144" s="4"/>
      <c r="FK144" s="4"/>
      <c r="FL144" s="398"/>
      <c r="FM144" s="398"/>
      <c r="FN144" s="398"/>
      <c r="FO144" s="398">
        <f t="shared" si="1932"/>
        <v>1</v>
      </c>
      <c r="FP144" s="398">
        <f t="shared" si="1933"/>
        <v>0</v>
      </c>
      <c r="FQ144" s="398">
        <f t="shared" si="1934"/>
        <v>0</v>
      </c>
      <c r="FR144" s="398">
        <f t="shared" si="1935"/>
        <v>0</v>
      </c>
      <c r="FS144" s="398">
        <f t="shared" si="1936"/>
        <v>0</v>
      </c>
      <c r="FT144" s="399"/>
      <c r="FV144" s="4"/>
      <c r="FW144" s="4"/>
      <c r="FX144" s="4"/>
      <c r="FY144" s="398"/>
      <c r="FZ144" s="398"/>
      <c r="GA144" s="398"/>
      <c r="GB144" s="398">
        <f t="shared" si="1937"/>
        <v>1</v>
      </c>
      <c r="GC144" s="398">
        <f t="shared" si="1938"/>
        <v>0</v>
      </c>
      <c r="GD144" s="398">
        <f t="shared" si="1939"/>
        <v>0</v>
      </c>
      <c r="GE144" s="398">
        <f t="shared" si="1940"/>
        <v>0</v>
      </c>
      <c r="GF144" s="398">
        <f t="shared" si="1941"/>
        <v>0</v>
      </c>
      <c r="GG144" s="399"/>
      <c r="GI144" s="4"/>
      <c r="GJ144" s="4"/>
      <c r="GK144" s="4"/>
      <c r="GL144" s="398"/>
      <c r="GM144" s="398"/>
      <c r="GN144" s="398"/>
      <c r="GO144" s="398">
        <f t="shared" si="1942"/>
        <v>1</v>
      </c>
      <c r="GP144" s="398">
        <f t="shared" si="1943"/>
        <v>0</v>
      </c>
      <c r="GQ144" s="398">
        <f t="shared" si="1944"/>
        <v>0</v>
      </c>
      <c r="GR144" s="398">
        <f t="shared" si="1945"/>
        <v>0</v>
      </c>
      <c r="GS144" s="398">
        <f t="shared" si="1946"/>
        <v>0</v>
      </c>
      <c r="GT144" s="399"/>
      <c r="GV144" s="4"/>
      <c r="GW144" s="4"/>
      <c r="GX144" s="4"/>
      <c r="GY144" s="398"/>
      <c r="GZ144" s="398"/>
      <c r="HA144" s="398"/>
      <c r="HB144" s="398">
        <f t="shared" si="1947"/>
        <v>1</v>
      </c>
      <c r="HC144" s="398">
        <f t="shared" si="1948"/>
        <v>0</v>
      </c>
      <c r="HD144" s="398">
        <f t="shared" si="1949"/>
        <v>0</v>
      </c>
      <c r="HE144" s="398">
        <f t="shared" si="1950"/>
        <v>0</v>
      </c>
      <c r="HF144" s="398">
        <f t="shared" si="1951"/>
        <v>0</v>
      </c>
      <c r="HG144" s="399"/>
      <c r="HI144" s="4"/>
      <c r="HJ144" s="4"/>
      <c r="HK144" s="4"/>
      <c r="HL144" s="398"/>
      <c r="HM144" s="398"/>
      <c r="HN144" s="398"/>
      <c r="HO144" s="398">
        <f t="shared" si="1952"/>
        <v>1</v>
      </c>
      <c r="HP144" s="398">
        <f t="shared" si="1953"/>
        <v>0</v>
      </c>
      <c r="HQ144" s="398">
        <f t="shared" si="1954"/>
        <v>0</v>
      </c>
      <c r="HR144" s="398">
        <f t="shared" si="1955"/>
        <v>0</v>
      </c>
      <c r="HS144" s="398">
        <f t="shared" si="1956"/>
        <v>0</v>
      </c>
      <c r="HT144" s="399"/>
      <c r="HV144" s="4"/>
      <c r="HW144" s="4"/>
      <c r="HX144" s="4"/>
      <c r="HY144" s="398"/>
      <c r="HZ144" s="398"/>
      <c r="IA144" s="398"/>
      <c r="IB144" s="398">
        <f t="shared" si="1957"/>
        <v>1</v>
      </c>
      <c r="IC144" s="398">
        <f t="shared" si="1958"/>
        <v>0</v>
      </c>
      <c r="ID144" s="398">
        <f t="shared" si="1959"/>
        <v>0</v>
      </c>
      <c r="IE144" s="398">
        <f t="shared" si="1960"/>
        <v>0</v>
      </c>
      <c r="IF144" s="398">
        <f t="shared" si="1961"/>
        <v>0</v>
      </c>
      <c r="IG144" s="399"/>
      <c r="II144" s="4"/>
      <c r="IJ144" s="4"/>
      <c r="IK144" s="4"/>
      <c r="IL144" s="398"/>
      <c r="IM144" s="398"/>
      <c r="IN144" s="398"/>
      <c r="IO144" s="398">
        <f t="shared" si="1962"/>
        <v>1</v>
      </c>
      <c r="IP144" s="398">
        <f t="shared" si="1963"/>
        <v>0</v>
      </c>
      <c r="IQ144" s="398">
        <f t="shared" si="1964"/>
        <v>0</v>
      </c>
      <c r="IR144" s="398">
        <f t="shared" si="1965"/>
        <v>0</v>
      </c>
      <c r="IS144" s="398">
        <f t="shared" si="1966"/>
        <v>0</v>
      </c>
      <c r="IT144" s="399"/>
      <c r="IV144" s="4"/>
      <c r="IW144" s="4"/>
      <c r="IX144" s="4"/>
      <c r="IY144" s="398"/>
      <c r="IZ144" s="398"/>
      <c r="JA144" s="398"/>
      <c r="JB144" s="398">
        <f t="shared" si="1967"/>
        <v>1</v>
      </c>
      <c r="JC144" s="398">
        <f t="shared" si="1968"/>
        <v>0</v>
      </c>
      <c r="JD144" s="398">
        <f t="shared" si="1969"/>
        <v>0</v>
      </c>
      <c r="JE144" s="398">
        <f t="shared" si="1970"/>
        <v>0</v>
      </c>
      <c r="JF144" s="398">
        <f t="shared" si="1971"/>
        <v>0</v>
      </c>
      <c r="JG144" s="399"/>
      <c r="JI144" s="4"/>
      <c r="JJ144" s="4"/>
      <c r="JK144" s="4"/>
      <c r="JL144" s="398"/>
      <c r="JM144" s="398"/>
      <c r="JN144" s="398"/>
      <c r="JO144" s="398">
        <f t="shared" si="1972"/>
        <v>1</v>
      </c>
      <c r="JP144" s="398">
        <f t="shared" si="1973"/>
        <v>0</v>
      </c>
      <c r="JQ144" s="398">
        <f t="shared" si="1974"/>
        <v>0</v>
      </c>
      <c r="JR144" s="398">
        <f t="shared" si="1975"/>
        <v>0</v>
      </c>
      <c r="JS144" s="398">
        <f t="shared" si="1976"/>
        <v>0</v>
      </c>
      <c r="JT144" s="399"/>
      <c r="JV144" s="4"/>
      <c r="JW144" s="4"/>
      <c r="JX144" s="4"/>
      <c r="JY144" s="398"/>
      <c r="JZ144" s="398"/>
      <c r="KA144" s="398"/>
      <c r="KB144" s="398">
        <f t="shared" si="1977"/>
        <v>1</v>
      </c>
      <c r="KC144" s="398">
        <f t="shared" si="1978"/>
        <v>0</v>
      </c>
      <c r="KD144" s="398">
        <f t="shared" si="1979"/>
        <v>0</v>
      </c>
      <c r="KE144" s="398">
        <f t="shared" si="1980"/>
        <v>0</v>
      </c>
      <c r="KF144" s="398">
        <f t="shared" si="1981"/>
        <v>0</v>
      </c>
      <c r="KG144" s="399"/>
      <c r="KI144" s="4"/>
      <c r="KJ144" s="4"/>
      <c r="KK144" s="4"/>
      <c r="KL144" s="398"/>
      <c r="KM144" s="398"/>
      <c r="KN144" s="398"/>
      <c r="KO144" s="398">
        <f t="shared" si="1982"/>
        <v>1</v>
      </c>
      <c r="KP144" s="398">
        <f t="shared" si="1983"/>
        <v>0</v>
      </c>
      <c r="KQ144" s="398">
        <f t="shared" si="1984"/>
        <v>0</v>
      </c>
      <c r="KR144" s="398">
        <f t="shared" si="1985"/>
        <v>0</v>
      </c>
      <c r="KS144" s="398">
        <f t="shared" si="1986"/>
        <v>0</v>
      </c>
      <c r="KT144" s="399"/>
      <c r="KV144" s="4"/>
      <c r="KW144" s="4"/>
      <c r="KX144" s="4"/>
      <c r="KY144" s="398"/>
      <c r="KZ144" s="398"/>
      <c r="LA144" s="398"/>
      <c r="LB144" s="398">
        <f t="shared" si="1987"/>
        <v>1</v>
      </c>
      <c r="LC144" s="398">
        <f t="shared" si="1988"/>
        <v>0</v>
      </c>
      <c r="LD144" s="398">
        <f t="shared" si="1989"/>
        <v>0</v>
      </c>
      <c r="LE144" s="398">
        <f t="shared" si="1990"/>
        <v>0</v>
      </c>
      <c r="LF144" s="398">
        <f t="shared" si="1991"/>
        <v>0</v>
      </c>
      <c r="LG144" s="399"/>
      <c r="LI144" s="4"/>
      <c r="LJ144" s="4"/>
      <c r="LK144" s="4"/>
      <c r="LL144" s="398"/>
      <c r="LM144" s="398"/>
      <c r="LN144" s="398"/>
      <c r="LO144" s="398">
        <f t="shared" si="1992"/>
        <v>1</v>
      </c>
      <c r="LP144" s="398">
        <f t="shared" si="1993"/>
        <v>0</v>
      </c>
      <c r="LQ144" s="398">
        <f t="shared" si="1994"/>
        <v>0</v>
      </c>
      <c r="LR144" s="398">
        <f t="shared" si="1995"/>
        <v>0</v>
      </c>
      <c r="LS144" s="398">
        <f t="shared" si="1996"/>
        <v>0</v>
      </c>
      <c r="LT144" s="399"/>
      <c r="LV144" s="4"/>
      <c r="LW144" s="4"/>
      <c r="LX144" s="4"/>
      <c r="LY144" s="398"/>
      <c r="LZ144" s="398"/>
      <c r="MA144" s="398"/>
      <c r="MB144" s="398">
        <f t="shared" si="1997"/>
        <v>1</v>
      </c>
      <c r="MC144" s="398">
        <f t="shared" si="1998"/>
        <v>0</v>
      </c>
      <c r="MD144" s="398">
        <f t="shared" si="1999"/>
        <v>0</v>
      </c>
      <c r="ME144" s="398">
        <f t="shared" si="2000"/>
        <v>0</v>
      </c>
      <c r="MF144" s="398">
        <f t="shared" si="2001"/>
        <v>0</v>
      </c>
      <c r="MG144" s="399"/>
    </row>
    <row r="145" spans="9:34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c r="I147" s="4"/>
      <c r="J147" s="4"/>
      <c r="K147" s="4"/>
      <c r="L147" s="398"/>
      <c r="M147" s="398"/>
      <c r="N147" s="398"/>
      <c r="O147" s="398">
        <f t="shared" ref="O147" si="2002">(T122&lt;&gt;2)+($B$143&amp;$D$143&lt;&gt;I122&amp;K122)*($B$144&amp;$D$144&lt;&gt;I122&amp;K122)*($D$143&amp;$B$143&lt;&gt;I122&amp;K122)*($D$144&amp;$B$144&lt;&gt;I122&amp;K122)</f>
        <v>1</v>
      </c>
      <c r="P147" s="398">
        <f t="shared" ref="P147" si="2003">IFERROR(VLOOKUP(I122,$B$143:$F$144,5,0),0)</f>
        <v>0</v>
      </c>
      <c r="Q147" s="398">
        <f t="shared" ref="Q147" si="2004">IFERROR(VLOOKUP(K122,$B$143:$F$144,5,0),0)</f>
        <v>0</v>
      </c>
      <c r="R147" s="398">
        <f>IFERROR(VLOOKUP(I122,$D$121:$G$122,4,0),0)</f>
        <v>0</v>
      </c>
      <c r="S147" s="398">
        <f>IFERROR(VLOOKUP(K122,$D$121:$G$122,4,0),0)</f>
        <v>0</v>
      </c>
      <c r="T147" s="399"/>
      <c r="V147" s="4"/>
      <c r="W147" s="4"/>
      <c r="X147" s="4"/>
      <c r="Y147" s="398"/>
      <c r="Z147" s="398"/>
      <c r="AA147" s="398"/>
      <c r="AB147" s="398">
        <f t="shared" ref="AB147" si="2005">(AG122&lt;&gt;2)+($B$143&amp;$D$143&lt;&gt;V122&amp;X122)*($B$144&amp;$D$144&lt;&gt;V122&amp;X122)*($D$143&amp;$B$143&lt;&gt;V122&amp;X122)*($D$144&amp;$B$144&lt;&gt;V122&amp;X122)</f>
        <v>1</v>
      </c>
      <c r="AC147" s="398">
        <f t="shared" ref="AC147" si="2006">IFERROR(VLOOKUP(V122,$B$143:$F$144,5,0),0)</f>
        <v>0</v>
      </c>
      <c r="AD147" s="398">
        <f t="shared" ref="AD147" si="2007">IFERROR(VLOOKUP(X122,$B$143:$F$144,5,0),0)</f>
        <v>0</v>
      </c>
      <c r="AE147" s="398">
        <f>IFERROR(VLOOKUP(V122,$D$121:$G$122,4,0),0)</f>
        <v>0</v>
      </c>
      <c r="AF147" s="398">
        <f>IFERROR(VLOOKUP(X122,$D$121:$G$122,4,0),0)</f>
        <v>0</v>
      </c>
      <c r="AG147" s="399"/>
      <c r="AI147" s="4"/>
      <c r="AJ147" s="4"/>
      <c r="AK147" s="4"/>
      <c r="AL147" s="398"/>
      <c r="AM147" s="398"/>
      <c r="AN147" s="398"/>
      <c r="AO147" s="398">
        <f t="shared" ref="AO147" si="2008">(AT122&lt;&gt;2)+($B$143&amp;$D$143&lt;&gt;AI122&amp;AK122)*($B$144&amp;$D$144&lt;&gt;AI122&amp;AK122)*($D$143&amp;$B$143&lt;&gt;AI122&amp;AK122)*($D$144&amp;$B$144&lt;&gt;AI122&amp;AK122)</f>
        <v>1</v>
      </c>
      <c r="AP147" s="398">
        <f t="shared" ref="AP147" si="2009">IFERROR(VLOOKUP(AI122,$B$143:$F$144,5,0),0)</f>
        <v>0</v>
      </c>
      <c r="AQ147" s="398">
        <f t="shared" ref="AQ147" si="2010">IFERROR(VLOOKUP(AK122,$B$143:$F$144,5,0),0)</f>
        <v>0</v>
      </c>
      <c r="AR147" s="398">
        <f>IFERROR(VLOOKUP(AI122,$D$121:$G$122,4,0),0)</f>
        <v>0</v>
      </c>
      <c r="AS147" s="398">
        <f>IFERROR(VLOOKUP(AK122,$D$121:$G$122,4,0),0)</f>
        <v>0</v>
      </c>
      <c r="AT147" s="399"/>
      <c r="AV147" s="4"/>
      <c r="AW147" s="4"/>
      <c r="AX147" s="4"/>
      <c r="AY147" s="398"/>
      <c r="AZ147" s="398"/>
      <c r="BA147" s="398"/>
      <c r="BB147" s="398">
        <f t="shared" ref="BB147" si="2011">(BG122&lt;&gt;2)+($B$143&amp;$D$143&lt;&gt;AV122&amp;AX122)*($B$144&amp;$D$144&lt;&gt;AV122&amp;AX122)*($D$143&amp;$B$143&lt;&gt;AV122&amp;AX122)*($D$144&amp;$B$144&lt;&gt;AV122&amp;AX122)</f>
        <v>1</v>
      </c>
      <c r="BC147" s="398">
        <f t="shared" ref="BC147" si="2012">IFERROR(VLOOKUP(AV122,$B$143:$F$144,5,0),0)</f>
        <v>0</v>
      </c>
      <c r="BD147" s="398">
        <f t="shared" ref="BD147" si="2013">IFERROR(VLOOKUP(AX122,$B$143:$F$144,5,0),0)</f>
        <v>0</v>
      </c>
      <c r="BE147" s="398">
        <f>IFERROR(VLOOKUP(AV122,$D$121:$G$122,4,0),0)</f>
        <v>0</v>
      </c>
      <c r="BF147" s="398">
        <f>IFERROR(VLOOKUP(AX122,$D$121:$G$122,4,0),0)</f>
        <v>0</v>
      </c>
      <c r="BG147" s="399"/>
      <c r="BI147" s="4"/>
      <c r="BJ147" s="4"/>
      <c r="BK147" s="4"/>
      <c r="BL147" s="398"/>
      <c r="BM147" s="398"/>
      <c r="BN147" s="398"/>
      <c r="BO147" s="398">
        <f t="shared" ref="BO147" si="2014">(BT122&lt;&gt;2)+($B$143&amp;$D$143&lt;&gt;BI122&amp;BK122)*($B$144&amp;$D$144&lt;&gt;BI122&amp;BK122)*($D$143&amp;$B$143&lt;&gt;BI122&amp;BK122)*($D$144&amp;$B$144&lt;&gt;BI122&amp;BK122)</f>
        <v>1</v>
      </c>
      <c r="BP147" s="398">
        <f t="shared" ref="BP147" si="2015">IFERROR(VLOOKUP(BI122,$B$143:$F$144,5,0),0)</f>
        <v>0</v>
      </c>
      <c r="BQ147" s="398">
        <f t="shared" ref="BQ147" si="2016">IFERROR(VLOOKUP(BK122,$B$143:$F$144,5,0),0)</f>
        <v>0</v>
      </c>
      <c r="BR147" s="398">
        <f>IFERROR(VLOOKUP(BI122,$D$121:$G$122,4,0),0)</f>
        <v>0</v>
      </c>
      <c r="BS147" s="398">
        <f>IFERROR(VLOOKUP(BK122,$D$121:$G$122,4,0),0)</f>
        <v>0</v>
      </c>
      <c r="BT147" s="399"/>
      <c r="BV147" s="4"/>
      <c r="BW147" s="4"/>
      <c r="BX147" s="4"/>
      <c r="BY147" s="398"/>
      <c r="BZ147" s="398"/>
      <c r="CA147" s="398"/>
      <c r="CB147" s="398">
        <f t="shared" ref="CB147" si="2017">(CG122&lt;&gt;2)+($B$143&amp;$D$143&lt;&gt;BV122&amp;BX122)*($B$144&amp;$D$144&lt;&gt;BV122&amp;BX122)*($D$143&amp;$B$143&lt;&gt;BV122&amp;BX122)*($D$144&amp;$B$144&lt;&gt;BV122&amp;BX122)</f>
        <v>1</v>
      </c>
      <c r="CC147" s="398">
        <f t="shared" ref="CC147" si="2018">IFERROR(VLOOKUP(BV122,$B$143:$F$144,5,0),0)</f>
        <v>0</v>
      </c>
      <c r="CD147" s="398">
        <f t="shared" ref="CD147" si="2019">IFERROR(VLOOKUP(BX122,$B$143:$F$144,5,0),0)</f>
        <v>0</v>
      </c>
      <c r="CE147" s="398">
        <f>IFERROR(VLOOKUP(BV122,$D$121:$G$122,4,0),0)</f>
        <v>0</v>
      </c>
      <c r="CF147" s="398">
        <f>IFERROR(VLOOKUP(BX122,$D$121:$G$122,4,0),0)</f>
        <v>0</v>
      </c>
      <c r="CG147" s="399"/>
      <c r="CI147" s="4"/>
      <c r="CJ147" s="4"/>
      <c r="CK147" s="4"/>
      <c r="CL147" s="398"/>
      <c r="CM147" s="398"/>
      <c r="CN147" s="398"/>
      <c r="CO147" s="398">
        <f t="shared" ref="CO147" si="2020">(CT122&lt;&gt;2)+($B$143&amp;$D$143&lt;&gt;CI122&amp;CK122)*($B$144&amp;$D$144&lt;&gt;CI122&amp;CK122)*($D$143&amp;$B$143&lt;&gt;CI122&amp;CK122)*($D$144&amp;$B$144&lt;&gt;CI122&amp;CK122)</f>
        <v>1</v>
      </c>
      <c r="CP147" s="398">
        <f t="shared" ref="CP147" si="2021">IFERROR(VLOOKUP(CI122,$B$143:$F$144,5,0),0)</f>
        <v>0</v>
      </c>
      <c r="CQ147" s="398">
        <f t="shared" ref="CQ147" si="2022">IFERROR(VLOOKUP(CK122,$B$143:$F$144,5,0),0)</f>
        <v>0</v>
      </c>
      <c r="CR147" s="398">
        <f>IFERROR(VLOOKUP(CI122,$D$121:$G$122,4,0),0)</f>
        <v>0</v>
      </c>
      <c r="CS147" s="398">
        <f>IFERROR(VLOOKUP(CK122,$D$121:$G$122,4,0),0)</f>
        <v>0</v>
      </c>
      <c r="CT147" s="399"/>
      <c r="CV147" s="4"/>
      <c r="CW147" s="4"/>
      <c r="CX147" s="4"/>
      <c r="CY147" s="398"/>
      <c r="CZ147" s="398"/>
      <c r="DA147" s="398"/>
      <c r="DB147" s="398">
        <f t="shared" ref="DB147" si="2023">(DG122&lt;&gt;2)+($B$143&amp;$D$143&lt;&gt;CV122&amp;CX122)*($B$144&amp;$D$144&lt;&gt;CV122&amp;CX122)*($D$143&amp;$B$143&lt;&gt;CV122&amp;CX122)*($D$144&amp;$B$144&lt;&gt;CV122&amp;CX122)</f>
        <v>1</v>
      </c>
      <c r="DC147" s="398">
        <f t="shared" ref="DC147" si="2024">IFERROR(VLOOKUP(CV122,$B$143:$F$144,5,0),0)</f>
        <v>0</v>
      </c>
      <c r="DD147" s="398">
        <f t="shared" ref="DD147" si="2025">IFERROR(VLOOKUP(CX122,$B$143:$F$144,5,0),0)</f>
        <v>0</v>
      </c>
      <c r="DE147" s="398">
        <f>IFERROR(VLOOKUP(CV122,$D$121:$G$122,4,0),0)</f>
        <v>0</v>
      </c>
      <c r="DF147" s="398">
        <f>IFERROR(VLOOKUP(CX122,$D$121:$G$122,4,0),0)</f>
        <v>0</v>
      </c>
      <c r="DG147" s="399"/>
      <c r="DI147" s="4"/>
      <c r="DJ147" s="4"/>
      <c r="DK147" s="4"/>
      <c r="DL147" s="398"/>
      <c r="DM147" s="398"/>
      <c r="DN147" s="398"/>
      <c r="DO147" s="398">
        <f t="shared" ref="DO147" si="2026">(DT122&lt;&gt;2)+($B$143&amp;$D$143&lt;&gt;DI122&amp;DK122)*($B$144&amp;$D$144&lt;&gt;DI122&amp;DK122)*($D$143&amp;$B$143&lt;&gt;DI122&amp;DK122)*($D$144&amp;$B$144&lt;&gt;DI122&amp;DK122)</f>
        <v>1</v>
      </c>
      <c r="DP147" s="398">
        <f t="shared" ref="DP147" si="2027">IFERROR(VLOOKUP(DI122,$B$143:$F$144,5,0),0)</f>
        <v>0</v>
      </c>
      <c r="DQ147" s="398">
        <f t="shared" ref="DQ147" si="2028">IFERROR(VLOOKUP(DK122,$B$143:$F$144,5,0),0)</f>
        <v>0</v>
      </c>
      <c r="DR147" s="398">
        <f>IFERROR(VLOOKUP(DI122,$D$121:$G$122,4,0),0)</f>
        <v>0</v>
      </c>
      <c r="DS147" s="398">
        <f>IFERROR(VLOOKUP(DK122,$D$121:$G$122,4,0),0)</f>
        <v>0</v>
      </c>
      <c r="DT147" s="399"/>
      <c r="DV147" s="4"/>
      <c r="DW147" s="4"/>
      <c r="DX147" s="4"/>
      <c r="DY147" s="398"/>
      <c r="DZ147" s="398"/>
      <c r="EA147" s="398"/>
      <c r="EB147" s="398">
        <f t="shared" ref="EB147" si="2029">(EG122&lt;&gt;2)+($B$143&amp;$D$143&lt;&gt;DV122&amp;DX122)*($B$144&amp;$D$144&lt;&gt;DV122&amp;DX122)*($D$143&amp;$B$143&lt;&gt;DV122&amp;DX122)*($D$144&amp;$B$144&lt;&gt;DV122&amp;DX122)</f>
        <v>1</v>
      </c>
      <c r="EC147" s="398">
        <f t="shared" ref="EC147" si="2030">IFERROR(VLOOKUP(DV122,$B$143:$F$144,5,0),0)</f>
        <v>0</v>
      </c>
      <c r="ED147" s="398">
        <f t="shared" ref="ED147" si="2031">IFERROR(VLOOKUP(DX122,$B$143:$F$144,5,0),0)</f>
        <v>0</v>
      </c>
      <c r="EE147" s="398">
        <f>IFERROR(VLOOKUP(DV122,$D$121:$G$122,4,0),0)</f>
        <v>0</v>
      </c>
      <c r="EF147" s="398">
        <f>IFERROR(VLOOKUP(DX122,$D$121:$G$122,4,0),0)</f>
        <v>0</v>
      </c>
      <c r="EG147" s="399"/>
      <c r="EI147" s="4"/>
      <c r="EJ147" s="4"/>
      <c r="EK147" s="4"/>
      <c r="EL147" s="398"/>
      <c r="EM147" s="398"/>
      <c r="EN147" s="398"/>
      <c r="EO147" s="398">
        <f t="shared" ref="EO147" si="2032">(ET122&lt;&gt;2)+($B$143&amp;$D$143&lt;&gt;EI122&amp;EK122)*($B$144&amp;$D$144&lt;&gt;EI122&amp;EK122)*($D$143&amp;$B$143&lt;&gt;EI122&amp;EK122)*($D$144&amp;$B$144&lt;&gt;EI122&amp;EK122)</f>
        <v>1</v>
      </c>
      <c r="EP147" s="398">
        <f t="shared" ref="EP147" si="2033">IFERROR(VLOOKUP(EI122,$B$143:$F$144,5,0),0)</f>
        <v>0</v>
      </c>
      <c r="EQ147" s="398">
        <f t="shared" ref="EQ147" si="2034">IFERROR(VLOOKUP(EK122,$B$143:$F$144,5,0),0)</f>
        <v>0</v>
      </c>
      <c r="ER147" s="398">
        <f>IFERROR(VLOOKUP(EI122,$D$121:$G$122,4,0),0)</f>
        <v>0</v>
      </c>
      <c r="ES147" s="398">
        <f>IFERROR(VLOOKUP(EK122,$D$121:$G$122,4,0),0)</f>
        <v>0</v>
      </c>
      <c r="ET147" s="399"/>
      <c r="EV147" s="4"/>
      <c r="EW147" s="4"/>
      <c r="EX147" s="4"/>
      <c r="EY147" s="398"/>
      <c r="EZ147" s="398"/>
      <c r="FA147" s="398"/>
      <c r="FB147" s="398">
        <f t="shared" ref="FB147" si="2035">(FG122&lt;&gt;2)+($B$143&amp;$D$143&lt;&gt;EV122&amp;EX122)*($B$144&amp;$D$144&lt;&gt;EV122&amp;EX122)*($D$143&amp;$B$143&lt;&gt;EV122&amp;EX122)*($D$144&amp;$B$144&lt;&gt;EV122&amp;EX122)</f>
        <v>1</v>
      </c>
      <c r="FC147" s="398">
        <f t="shared" ref="FC147" si="2036">IFERROR(VLOOKUP(EV122,$B$143:$F$144,5,0),0)</f>
        <v>0</v>
      </c>
      <c r="FD147" s="398">
        <f t="shared" ref="FD147" si="2037">IFERROR(VLOOKUP(EX122,$B$143:$F$144,5,0),0)</f>
        <v>0</v>
      </c>
      <c r="FE147" s="398">
        <f>IFERROR(VLOOKUP(EV122,$D$121:$G$122,4,0),0)</f>
        <v>0</v>
      </c>
      <c r="FF147" s="398">
        <f>IFERROR(VLOOKUP(EX122,$D$121:$G$122,4,0),0)</f>
        <v>0</v>
      </c>
      <c r="FG147" s="399"/>
      <c r="FI147" s="4"/>
      <c r="FJ147" s="4"/>
      <c r="FK147" s="4"/>
      <c r="FL147" s="398"/>
      <c r="FM147" s="398"/>
      <c r="FN147" s="398"/>
      <c r="FO147" s="398">
        <f t="shared" ref="FO147" si="2038">(FT122&lt;&gt;2)+($B$143&amp;$D$143&lt;&gt;FI122&amp;FK122)*($B$144&amp;$D$144&lt;&gt;FI122&amp;FK122)*($D$143&amp;$B$143&lt;&gt;FI122&amp;FK122)*($D$144&amp;$B$144&lt;&gt;FI122&amp;FK122)</f>
        <v>1</v>
      </c>
      <c r="FP147" s="398">
        <f t="shared" ref="FP147" si="2039">IFERROR(VLOOKUP(FI122,$B$143:$F$144,5,0),0)</f>
        <v>0</v>
      </c>
      <c r="FQ147" s="398">
        <f t="shared" ref="FQ147" si="2040">IFERROR(VLOOKUP(FK122,$B$143:$F$144,5,0),0)</f>
        <v>0</v>
      </c>
      <c r="FR147" s="398">
        <f>IFERROR(VLOOKUP(FI122,$D$121:$G$122,4,0),0)</f>
        <v>0</v>
      </c>
      <c r="FS147" s="398">
        <f>IFERROR(VLOOKUP(FK122,$D$121:$G$122,4,0),0)</f>
        <v>0</v>
      </c>
      <c r="FT147" s="399"/>
      <c r="FV147" s="4"/>
      <c r="FW147" s="4"/>
      <c r="FX147" s="4"/>
      <c r="FY147" s="398"/>
      <c r="FZ147" s="398"/>
      <c r="GA147" s="398"/>
      <c r="GB147" s="398">
        <f t="shared" ref="GB147" si="2041">(GG122&lt;&gt;2)+($B$143&amp;$D$143&lt;&gt;FV122&amp;FX122)*($B$144&amp;$D$144&lt;&gt;FV122&amp;FX122)*($D$143&amp;$B$143&lt;&gt;FV122&amp;FX122)*($D$144&amp;$B$144&lt;&gt;FV122&amp;FX122)</f>
        <v>1</v>
      </c>
      <c r="GC147" s="398">
        <f t="shared" ref="GC147" si="2042">IFERROR(VLOOKUP(FV122,$B$143:$F$144,5,0),0)</f>
        <v>0</v>
      </c>
      <c r="GD147" s="398">
        <f t="shared" ref="GD147" si="2043">IFERROR(VLOOKUP(FX122,$B$143:$F$144,5,0),0)</f>
        <v>0</v>
      </c>
      <c r="GE147" s="398">
        <f>IFERROR(VLOOKUP(FV122,$D$121:$G$122,4,0),0)</f>
        <v>0</v>
      </c>
      <c r="GF147" s="398">
        <f>IFERROR(VLOOKUP(FX122,$D$121:$G$122,4,0),0)</f>
        <v>0</v>
      </c>
      <c r="GG147" s="399"/>
      <c r="GI147" s="4"/>
      <c r="GJ147" s="4"/>
      <c r="GK147" s="4"/>
      <c r="GL147" s="398"/>
      <c r="GM147" s="398"/>
      <c r="GN147" s="398"/>
      <c r="GO147" s="398">
        <f t="shared" ref="GO147" si="2044">(GT122&lt;&gt;2)+($B$143&amp;$D$143&lt;&gt;GI122&amp;GK122)*($B$144&amp;$D$144&lt;&gt;GI122&amp;GK122)*($D$143&amp;$B$143&lt;&gt;GI122&amp;GK122)*($D$144&amp;$B$144&lt;&gt;GI122&amp;GK122)</f>
        <v>1</v>
      </c>
      <c r="GP147" s="398">
        <f t="shared" ref="GP147" si="2045">IFERROR(VLOOKUP(GI122,$B$143:$F$144,5,0),0)</f>
        <v>0</v>
      </c>
      <c r="GQ147" s="398">
        <f t="shared" ref="GQ147" si="2046">IFERROR(VLOOKUP(GK122,$B$143:$F$144,5,0),0)</f>
        <v>0</v>
      </c>
      <c r="GR147" s="398">
        <f>IFERROR(VLOOKUP(GI122,$D$121:$G$122,4,0),0)</f>
        <v>0</v>
      </c>
      <c r="GS147" s="398">
        <f>IFERROR(VLOOKUP(GK122,$D$121:$G$122,4,0),0)</f>
        <v>0</v>
      </c>
      <c r="GT147" s="399"/>
      <c r="GV147" s="4"/>
      <c r="GW147" s="4"/>
      <c r="GX147" s="4"/>
      <c r="GY147" s="398"/>
      <c r="GZ147" s="398"/>
      <c r="HA147" s="398"/>
      <c r="HB147" s="398">
        <f t="shared" ref="HB147" si="2047">(HG122&lt;&gt;2)+($B$143&amp;$D$143&lt;&gt;GV122&amp;GX122)*($B$144&amp;$D$144&lt;&gt;GV122&amp;GX122)*($D$143&amp;$B$143&lt;&gt;GV122&amp;GX122)*($D$144&amp;$B$144&lt;&gt;GV122&amp;GX122)</f>
        <v>1</v>
      </c>
      <c r="HC147" s="398">
        <f t="shared" ref="HC147" si="2048">IFERROR(VLOOKUP(GV122,$B$143:$F$144,5,0),0)</f>
        <v>0</v>
      </c>
      <c r="HD147" s="398">
        <f t="shared" ref="HD147" si="2049">IFERROR(VLOOKUP(GX122,$B$143:$F$144,5,0),0)</f>
        <v>0</v>
      </c>
      <c r="HE147" s="398">
        <f>IFERROR(VLOOKUP(GV122,$D$121:$G$122,4,0),0)</f>
        <v>0</v>
      </c>
      <c r="HF147" s="398">
        <f>IFERROR(VLOOKUP(GX122,$D$121:$G$122,4,0),0)</f>
        <v>0</v>
      </c>
      <c r="HG147" s="399"/>
      <c r="HI147" s="4"/>
      <c r="HJ147" s="4"/>
      <c r="HK147" s="4"/>
      <c r="HL147" s="398"/>
      <c r="HM147" s="398"/>
      <c r="HN147" s="398"/>
      <c r="HO147" s="398">
        <f t="shared" ref="HO147" si="2050">(HT122&lt;&gt;2)+($B$143&amp;$D$143&lt;&gt;HI122&amp;HK122)*($B$144&amp;$D$144&lt;&gt;HI122&amp;HK122)*($D$143&amp;$B$143&lt;&gt;HI122&amp;HK122)*($D$144&amp;$B$144&lt;&gt;HI122&amp;HK122)</f>
        <v>1</v>
      </c>
      <c r="HP147" s="398">
        <f t="shared" ref="HP147" si="2051">IFERROR(VLOOKUP(HI122,$B$143:$F$144,5,0),0)</f>
        <v>0</v>
      </c>
      <c r="HQ147" s="398">
        <f t="shared" ref="HQ147" si="2052">IFERROR(VLOOKUP(HK122,$B$143:$F$144,5,0),0)</f>
        <v>0</v>
      </c>
      <c r="HR147" s="398">
        <f>IFERROR(VLOOKUP(HI122,$D$121:$G$122,4,0),0)</f>
        <v>0</v>
      </c>
      <c r="HS147" s="398">
        <f>IFERROR(VLOOKUP(HK122,$D$121:$G$122,4,0),0)</f>
        <v>0</v>
      </c>
      <c r="HT147" s="399"/>
      <c r="HV147" s="4"/>
      <c r="HW147" s="4"/>
      <c r="HX147" s="4"/>
      <c r="HY147" s="398"/>
      <c r="HZ147" s="398"/>
      <c r="IA147" s="398"/>
      <c r="IB147" s="398">
        <f t="shared" ref="IB147" si="2053">(IG122&lt;&gt;2)+($B$143&amp;$D$143&lt;&gt;HV122&amp;HX122)*($B$144&amp;$D$144&lt;&gt;HV122&amp;HX122)*($D$143&amp;$B$143&lt;&gt;HV122&amp;HX122)*($D$144&amp;$B$144&lt;&gt;HV122&amp;HX122)</f>
        <v>1</v>
      </c>
      <c r="IC147" s="398">
        <f t="shared" ref="IC147" si="2054">IFERROR(VLOOKUP(HV122,$B$143:$F$144,5,0),0)</f>
        <v>0</v>
      </c>
      <c r="ID147" s="398">
        <f t="shared" ref="ID147" si="2055">IFERROR(VLOOKUP(HX122,$B$143:$F$144,5,0),0)</f>
        <v>0</v>
      </c>
      <c r="IE147" s="398">
        <f>IFERROR(VLOOKUP(HV122,$D$121:$G$122,4,0),0)</f>
        <v>0</v>
      </c>
      <c r="IF147" s="398">
        <f>IFERROR(VLOOKUP(HX122,$D$121:$G$122,4,0),0)</f>
        <v>0</v>
      </c>
      <c r="IG147" s="399"/>
      <c r="II147" s="4"/>
      <c r="IJ147" s="4"/>
      <c r="IK147" s="4"/>
      <c r="IL147" s="398"/>
      <c r="IM147" s="398"/>
      <c r="IN147" s="398"/>
      <c r="IO147" s="398">
        <f t="shared" ref="IO147" si="2056">(IT122&lt;&gt;2)+($B$143&amp;$D$143&lt;&gt;II122&amp;IK122)*($B$144&amp;$D$144&lt;&gt;II122&amp;IK122)*($D$143&amp;$B$143&lt;&gt;II122&amp;IK122)*($D$144&amp;$B$144&lt;&gt;II122&amp;IK122)</f>
        <v>1</v>
      </c>
      <c r="IP147" s="398">
        <f t="shared" ref="IP147" si="2057">IFERROR(VLOOKUP(II122,$B$143:$F$144,5,0),0)</f>
        <v>0</v>
      </c>
      <c r="IQ147" s="398">
        <f t="shared" ref="IQ147" si="2058">IFERROR(VLOOKUP(IK122,$B$143:$F$144,5,0),0)</f>
        <v>0</v>
      </c>
      <c r="IR147" s="398">
        <f>IFERROR(VLOOKUP(II122,$D$121:$G$122,4,0),0)</f>
        <v>0</v>
      </c>
      <c r="IS147" s="398">
        <f>IFERROR(VLOOKUP(IK122,$D$121:$G$122,4,0),0)</f>
        <v>0</v>
      </c>
      <c r="IT147" s="399"/>
      <c r="IV147" s="4"/>
      <c r="IW147" s="4"/>
      <c r="IX147" s="4"/>
      <c r="IY147" s="398"/>
      <c r="IZ147" s="398"/>
      <c r="JA147" s="398"/>
      <c r="JB147" s="398">
        <f t="shared" ref="JB147" si="2059">(JG122&lt;&gt;2)+($B$143&amp;$D$143&lt;&gt;IV122&amp;IX122)*($B$144&amp;$D$144&lt;&gt;IV122&amp;IX122)*($D$143&amp;$B$143&lt;&gt;IV122&amp;IX122)*($D$144&amp;$B$144&lt;&gt;IV122&amp;IX122)</f>
        <v>1</v>
      </c>
      <c r="JC147" s="398">
        <f t="shared" ref="JC147" si="2060">IFERROR(VLOOKUP(IV122,$B$143:$F$144,5,0),0)</f>
        <v>0</v>
      </c>
      <c r="JD147" s="398">
        <f t="shared" ref="JD147" si="2061">IFERROR(VLOOKUP(IX122,$B$143:$F$144,5,0),0)</f>
        <v>0</v>
      </c>
      <c r="JE147" s="398">
        <f>IFERROR(VLOOKUP(IV122,$D$121:$G$122,4,0),0)</f>
        <v>0</v>
      </c>
      <c r="JF147" s="398">
        <f>IFERROR(VLOOKUP(IX122,$D$121:$G$122,4,0),0)</f>
        <v>0</v>
      </c>
      <c r="JG147" s="399"/>
      <c r="JI147" s="4"/>
      <c r="JJ147" s="4"/>
      <c r="JK147" s="4"/>
      <c r="JL147" s="398"/>
      <c r="JM147" s="398"/>
      <c r="JN147" s="398"/>
      <c r="JO147" s="398">
        <f t="shared" ref="JO147" si="2062">(JT122&lt;&gt;2)+($B$143&amp;$D$143&lt;&gt;JI122&amp;JK122)*($B$144&amp;$D$144&lt;&gt;JI122&amp;JK122)*($D$143&amp;$B$143&lt;&gt;JI122&amp;JK122)*($D$144&amp;$B$144&lt;&gt;JI122&amp;JK122)</f>
        <v>1</v>
      </c>
      <c r="JP147" s="398">
        <f t="shared" ref="JP147" si="2063">IFERROR(VLOOKUP(JI122,$B$143:$F$144,5,0),0)</f>
        <v>0</v>
      </c>
      <c r="JQ147" s="398">
        <f t="shared" ref="JQ147" si="2064">IFERROR(VLOOKUP(JK122,$B$143:$F$144,5,0),0)</f>
        <v>0</v>
      </c>
      <c r="JR147" s="398">
        <f>IFERROR(VLOOKUP(JI122,$D$121:$G$122,4,0),0)</f>
        <v>0</v>
      </c>
      <c r="JS147" s="398">
        <f>IFERROR(VLOOKUP(JK122,$D$121:$G$122,4,0),0)</f>
        <v>0</v>
      </c>
      <c r="JT147" s="399"/>
      <c r="JV147" s="4"/>
      <c r="JW147" s="4"/>
      <c r="JX147" s="4"/>
      <c r="JY147" s="398"/>
      <c r="JZ147" s="398"/>
      <c r="KA147" s="398"/>
      <c r="KB147" s="398">
        <f t="shared" ref="KB147" si="2065">(KG122&lt;&gt;2)+($B$143&amp;$D$143&lt;&gt;JV122&amp;JX122)*($B$144&amp;$D$144&lt;&gt;JV122&amp;JX122)*($D$143&amp;$B$143&lt;&gt;JV122&amp;JX122)*($D$144&amp;$B$144&lt;&gt;JV122&amp;JX122)</f>
        <v>1</v>
      </c>
      <c r="KC147" s="398">
        <f t="shared" ref="KC147" si="2066">IFERROR(VLOOKUP(JV122,$B$143:$F$144,5,0),0)</f>
        <v>0</v>
      </c>
      <c r="KD147" s="398">
        <f t="shared" ref="KD147" si="2067">IFERROR(VLOOKUP(JX122,$B$143:$F$144,5,0),0)</f>
        <v>0</v>
      </c>
      <c r="KE147" s="398">
        <f>IFERROR(VLOOKUP(JV122,$D$121:$G$122,4,0),0)</f>
        <v>0</v>
      </c>
      <c r="KF147" s="398">
        <f>IFERROR(VLOOKUP(JX122,$D$121:$G$122,4,0),0)</f>
        <v>0</v>
      </c>
      <c r="KG147" s="399"/>
      <c r="KI147" s="4"/>
      <c r="KJ147" s="4"/>
      <c r="KK147" s="4"/>
      <c r="KL147" s="398"/>
      <c r="KM147" s="398"/>
      <c r="KN147" s="398"/>
      <c r="KO147" s="398">
        <f t="shared" ref="KO147" si="2068">(KT122&lt;&gt;2)+($B$143&amp;$D$143&lt;&gt;KI122&amp;KK122)*($B$144&amp;$D$144&lt;&gt;KI122&amp;KK122)*($D$143&amp;$B$143&lt;&gt;KI122&amp;KK122)*($D$144&amp;$B$144&lt;&gt;KI122&amp;KK122)</f>
        <v>1</v>
      </c>
      <c r="KP147" s="398">
        <f t="shared" ref="KP147" si="2069">IFERROR(VLOOKUP(KI122,$B$143:$F$144,5,0),0)</f>
        <v>0</v>
      </c>
      <c r="KQ147" s="398">
        <f t="shared" ref="KQ147" si="2070">IFERROR(VLOOKUP(KK122,$B$143:$F$144,5,0),0)</f>
        <v>0</v>
      </c>
      <c r="KR147" s="398">
        <f>IFERROR(VLOOKUP(KI122,$D$121:$G$122,4,0),0)</f>
        <v>0</v>
      </c>
      <c r="KS147" s="398">
        <f>IFERROR(VLOOKUP(KK122,$D$121:$G$122,4,0),0)</f>
        <v>0</v>
      </c>
      <c r="KT147" s="399"/>
      <c r="KV147" s="4"/>
      <c r="KW147" s="4"/>
      <c r="KX147" s="4"/>
      <c r="KY147" s="398"/>
      <c r="KZ147" s="398"/>
      <c r="LA147" s="398"/>
      <c r="LB147" s="398">
        <f t="shared" ref="LB147" si="2071">(LG122&lt;&gt;2)+($B$143&amp;$D$143&lt;&gt;KV122&amp;KX122)*($B$144&amp;$D$144&lt;&gt;KV122&amp;KX122)*($D$143&amp;$B$143&lt;&gt;KV122&amp;KX122)*($D$144&amp;$B$144&lt;&gt;KV122&amp;KX122)</f>
        <v>1</v>
      </c>
      <c r="LC147" s="398">
        <f t="shared" ref="LC147" si="2072">IFERROR(VLOOKUP(KV122,$B$143:$F$144,5,0),0)</f>
        <v>0</v>
      </c>
      <c r="LD147" s="398">
        <f t="shared" ref="LD147" si="2073">IFERROR(VLOOKUP(KX122,$B$143:$F$144,5,0),0)</f>
        <v>0</v>
      </c>
      <c r="LE147" s="398">
        <f>IFERROR(VLOOKUP(KV122,$D$121:$G$122,4,0),0)</f>
        <v>0</v>
      </c>
      <c r="LF147" s="398">
        <f>IFERROR(VLOOKUP(KX122,$D$121:$G$122,4,0),0)</f>
        <v>0</v>
      </c>
      <c r="LG147" s="399"/>
      <c r="LI147" s="4"/>
      <c r="LJ147" s="4"/>
      <c r="LK147" s="4"/>
      <c r="LL147" s="398"/>
      <c r="LM147" s="398"/>
      <c r="LN147" s="398"/>
      <c r="LO147" s="398">
        <f t="shared" ref="LO147" si="2074">(LT122&lt;&gt;2)+($B$143&amp;$D$143&lt;&gt;LI122&amp;LK122)*($B$144&amp;$D$144&lt;&gt;LI122&amp;LK122)*($D$143&amp;$B$143&lt;&gt;LI122&amp;LK122)*($D$144&amp;$B$144&lt;&gt;LI122&amp;LK122)</f>
        <v>1</v>
      </c>
      <c r="LP147" s="398">
        <f t="shared" ref="LP147" si="2075">IFERROR(VLOOKUP(LI122,$B$143:$F$144,5,0),0)</f>
        <v>0</v>
      </c>
      <c r="LQ147" s="398">
        <f t="shared" ref="LQ147" si="2076">IFERROR(VLOOKUP(LK122,$B$143:$F$144,5,0),0)</f>
        <v>0</v>
      </c>
      <c r="LR147" s="398">
        <f>IFERROR(VLOOKUP(LI122,$D$121:$G$122,4,0),0)</f>
        <v>0</v>
      </c>
      <c r="LS147" s="398">
        <f>IFERROR(VLOOKUP(LK122,$D$121:$G$122,4,0),0)</f>
        <v>0</v>
      </c>
      <c r="LT147" s="399"/>
      <c r="LV147" s="4"/>
      <c r="LW147" s="4"/>
      <c r="LX147" s="4"/>
      <c r="LY147" s="398"/>
      <c r="LZ147" s="398"/>
      <c r="MA147" s="398"/>
      <c r="MB147" s="398">
        <f t="shared" ref="MB147" si="2077">(MG122&lt;&gt;2)+($B$143&amp;$D$143&lt;&gt;LV122&amp;LX122)*($B$144&amp;$D$144&lt;&gt;LV122&amp;LX122)*($D$143&amp;$B$143&lt;&gt;LV122&amp;LX122)*($D$144&amp;$B$144&lt;&gt;LV122&amp;LX122)</f>
        <v>1</v>
      </c>
      <c r="MC147" s="398">
        <f t="shared" ref="MC147" si="2078">IFERROR(VLOOKUP(LV122,$B$143:$F$144,5,0),0)</f>
        <v>0</v>
      </c>
      <c r="MD147" s="398">
        <f t="shared" ref="MD147" si="2079">IFERROR(VLOOKUP(LX122,$B$143:$F$144,5,0),0)</f>
        <v>0</v>
      </c>
      <c r="ME147" s="398">
        <f>IFERROR(VLOOKUP(LV122,$D$121:$G$122,4,0),0)</f>
        <v>0</v>
      </c>
      <c r="MF147" s="398">
        <f>IFERROR(VLOOKUP(LX122,$D$121:$G$122,4,0),0)</f>
        <v>0</v>
      </c>
      <c r="MG147" s="399"/>
    </row>
    <row r="148" spans="9:34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84" priority="2821">
      <formula>O116&gt;1</formula>
    </cfRule>
  </conditionalFormatting>
  <conditionalFormatting sqref="L116">
    <cfRule type="expression" dxfId="983" priority="2820">
      <formula>O111&gt;1</formula>
    </cfRule>
  </conditionalFormatting>
  <conditionalFormatting sqref="L117">
    <cfRule type="expression" dxfId="982" priority="2819">
      <formula>O112&gt;1</formula>
    </cfRule>
  </conditionalFormatting>
  <conditionalFormatting sqref="L118">
    <cfRule type="expression" dxfId="981" priority="2818">
      <formula>O113&gt;1</formula>
    </cfRule>
  </conditionalFormatting>
  <conditionalFormatting sqref="L119">
    <cfRule type="expression" dxfId="980" priority="2817">
      <formula>O114&gt;1</formula>
    </cfRule>
  </conditionalFormatting>
  <conditionalFormatting sqref="J117">
    <cfRule type="expression" dxfId="979" priority="2816">
      <formula>O117&gt;1</formula>
    </cfRule>
  </conditionalFormatting>
  <conditionalFormatting sqref="J118">
    <cfRule type="expression" dxfId="978" priority="2815">
      <formula>O118&gt;1</formula>
    </cfRule>
  </conditionalFormatting>
  <conditionalFormatting sqref="J119">
    <cfRule type="expression" dxfId="977" priority="2814">
      <formula>O119&gt;1</formula>
    </cfRule>
  </conditionalFormatting>
  <conditionalFormatting sqref="J121">
    <cfRule type="expression" dxfId="976" priority="2813">
      <formula>O121&gt;1</formula>
    </cfRule>
  </conditionalFormatting>
  <conditionalFormatting sqref="J122">
    <cfRule type="expression" dxfId="975" priority="2812">
      <formula>O122&gt;1</formula>
    </cfRule>
  </conditionalFormatting>
  <conditionalFormatting sqref="L121">
    <cfRule type="expression" dxfId="974" priority="2811">
      <formula>O109&gt;1</formula>
    </cfRule>
  </conditionalFormatting>
  <conditionalFormatting sqref="L122">
    <cfRule type="expression" dxfId="973" priority="2810">
      <formula>O110&gt;1</formula>
    </cfRule>
  </conditionalFormatting>
  <conditionalFormatting sqref="J124">
    <cfRule type="expression" dxfId="972" priority="2807">
      <formula>P124&gt;1</formula>
    </cfRule>
  </conditionalFormatting>
  <conditionalFormatting sqref="L124">
    <cfRule type="expression" dxfId="971" priority="2806">
      <formula>O107&gt;1</formula>
    </cfRule>
  </conditionalFormatting>
  <conditionalFormatting sqref="J126">
    <cfRule type="expression" dxfId="970" priority="2805">
      <formula>P126&gt;1</formula>
    </cfRule>
  </conditionalFormatting>
  <conditionalFormatting sqref="L126">
    <cfRule type="expression" dxfId="969" priority="2804">
      <formula>O108&gt;1</formula>
    </cfRule>
  </conditionalFormatting>
  <conditionalFormatting sqref="J107">
    <cfRule type="expression" dxfId="968" priority="2801">
      <formula>$O$90&gt;1</formula>
    </cfRule>
  </conditionalFormatting>
  <conditionalFormatting sqref="L107">
    <cfRule type="expression" dxfId="967" priority="2800">
      <formula>$O$91&gt;1</formula>
    </cfRule>
  </conditionalFormatting>
  <conditionalFormatting sqref="J108">
    <cfRule type="expression" dxfId="966" priority="2799">
      <formula>$O$92&gt;1</formula>
    </cfRule>
  </conditionalFormatting>
  <conditionalFormatting sqref="J109">
    <cfRule type="expression" dxfId="965" priority="2798">
      <formula>$O$94&gt;1</formula>
    </cfRule>
  </conditionalFormatting>
  <conditionalFormatting sqref="J110">
    <cfRule type="expression" dxfId="964" priority="2797">
      <formula>$O$96&gt;1</formula>
    </cfRule>
  </conditionalFormatting>
  <conditionalFormatting sqref="J111">
    <cfRule type="expression" dxfId="963" priority="2796">
      <formula>$O$98&gt;1</formula>
    </cfRule>
  </conditionalFormatting>
  <conditionalFormatting sqref="J112">
    <cfRule type="expression" dxfId="962" priority="2795">
      <formula>$O$100&gt;1</formula>
    </cfRule>
  </conditionalFormatting>
  <conditionalFormatting sqref="J113">
    <cfRule type="expression" dxfId="961" priority="2794">
      <formula>$O$102&gt;1</formula>
    </cfRule>
  </conditionalFormatting>
  <conditionalFormatting sqref="J114">
    <cfRule type="expression" dxfId="960" priority="2793">
      <formula>$O$104&gt;1</formula>
    </cfRule>
  </conditionalFormatting>
  <conditionalFormatting sqref="L108">
    <cfRule type="expression" dxfId="959" priority="2792">
      <formula>$O$93&gt;1</formula>
    </cfRule>
  </conditionalFormatting>
  <conditionalFormatting sqref="L109">
    <cfRule type="expression" dxfId="958" priority="2791">
      <formula>$O$95&gt;1</formula>
    </cfRule>
  </conditionalFormatting>
  <conditionalFormatting sqref="L110">
    <cfRule type="expression" dxfId="957" priority="2790">
      <formula>$O$97&gt;1</formula>
    </cfRule>
  </conditionalFormatting>
  <conditionalFormatting sqref="L111">
    <cfRule type="expression" dxfId="956" priority="2789">
      <formula>$O$99&gt;1</formula>
    </cfRule>
  </conditionalFormatting>
  <conditionalFormatting sqref="L112">
    <cfRule type="expression" dxfId="955" priority="2788">
      <formula>$O$101&gt;1</formula>
    </cfRule>
  </conditionalFormatting>
  <conditionalFormatting sqref="L113">
    <cfRule type="expression" dxfId="954" priority="2787">
      <formula>$O$103&gt;1</formula>
    </cfRule>
  </conditionalFormatting>
  <conditionalFormatting sqref="L114">
    <cfRule type="expression" dxfId="953" priority="2786">
      <formula>$O$105&gt;1</formula>
    </cfRule>
  </conditionalFormatting>
  <conditionalFormatting sqref="W116">
    <cfRule type="expression" dxfId="952" priority="899">
      <formula>AB116&gt;1</formula>
    </cfRule>
  </conditionalFormatting>
  <conditionalFormatting sqref="Y116">
    <cfRule type="expression" dxfId="951" priority="898">
      <formula>AB111&gt;1</formula>
    </cfRule>
  </conditionalFormatting>
  <conditionalFormatting sqref="Y117">
    <cfRule type="expression" dxfId="950" priority="897">
      <formula>AB112&gt;1</formula>
    </cfRule>
  </conditionalFormatting>
  <conditionalFormatting sqref="Y118">
    <cfRule type="expression" dxfId="949" priority="896">
      <formula>AB113&gt;1</formula>
    </cfRule>
  </conditionalFormatting>
  <conditionalFormatting sqref="Y119">
    <cfRule type="expression" dxfId="948" priority="895">
      <formula>AB114&gt;1</formula>
    </cfRule>
  </conditionalFormatting>
  <conditionalFormatting sqref="W117">
    <cfRule type="expression" dxfId="947" priority="894">
      <formula>AB117&gt;1</formula>
    </cfRule>
  </conditionalFormatting>
  <conditionalFormatting sqref="W118">
    <cfRule type="expression" dxfId="946" priority="893">
      <formula>AB118&gt;1</formula>
    </cfRule>
  </conditionalFormatting>
  <conditionalFormatting sqref="W119">
    <cfRule type="expression" dxfId="945" priority="892">
      <formula>AB119&gt;1</formula>
    </cfRule>
  </conditionalFormatting>
  <conditionalFormatting sqref="W121">
    <cfRule type="expression" dxfId="944" priority="891">
      <formula>AB121&gt;1</formula>
    </cfRule>
  </conditionalFormatting>
  <conditionalFormatting sqref="W122">
    <cfRule type="expression" dxfId="943" priority="890">
      <formula>AB122&gt;1</formula>
    </cfRule>
  </conditionalFormatting>
  <conditionalFormatting sqref="Y121">
    <cfRule type="expression" dxfId="942" priority="889">
      <formula>AB109&gt;1</formula>
    </cfRule>
  </conditionalFormatting>
  <conditionalFormatting sqref="Y122">
    <cfRule type="expression" dxfId="941" priority="888">
      <formula>AB110&gt;1</formula>
    </cfRule>
  </conditionalFormatting>
  <conditionalFormatting sqref="W124">
    <cfRule type="expression" dxfId="940" priority="887">
      <formula>AC124&gt;1</formula>
    </cfRule>
  </conditionalFormatting>
  <conditionalFormatting sqref="Y124">
    <cfRule type="expression" dxfId="939" priority="886">
      <formula>AB107&gt;1</formula>
    </cfRule>
  </conditionalFormatting>
  <conditionalFormatting sqref="W126">
    <cfRule type="expression" dxfId="938" priority="885">
      <formula>AC126&gt;1</formula>
    </cfRule>
  </conditionalFormatting>
  <conditionalFormatting sqref="Y126">
    <cfRule type="expression" dxfId="937" priority="884">
      <formula>AB108&gt;1</formula>
    </cfRule>
  </conditionalFormatting>
  <conditionalFormatting sqref="W107">
    <cfRule type="expression" dxfId="936" priority="883">
      <formula>$O$90&gt;1</formula>
    </cfRule>
  </conditionalFormatting>
  <conditionalFormatting sqref="Y107">
    <cfRule type="expression" dxfId="935" priority="882">
      <formula>$O$91&gt;1</formula>
    </cfRule>
  </conditionalFormatting>
  <conditionalFormatting sqref="W108">
    <cfRule type="expression" dxfId="934" priority="881">
      <formula>$O$92&gt;1</formula>
    </cfRule>
  </conditionalFormatting>
  <conditionalFormatting sqref="W109">
    <cfRule type="expression" dxfId="933" priority="880">
      <formula>$O$94&gt;1</formula>
    </cfRule>
  </conditionalFormatting>
  <conditionalFormatting sqref="W110">
    <cfRule type="expression" dxfId="932" priority="879">
      <formula>$O$96&gt;1</formula>
    </cfRule>
  </conditionalFormatting>
  <conditionalFormatting sqref="W111">
    <cfRule type="expression" dxfId="931" priority="878">
      <formula>$O$98&gt;1</formula>
    </cfRule>
  </conditionalFormatting>
  <conditionalFormatting sqref="W112">
    <cfRule type="expression" dxfId="930" priority="877">
      <formula>$O$100&gt;1</formula>
    </cfRule>
  </conditionalFormatting>
  <conditionalFormatting sqref="W113">
    <cfRule type="expression" dxfId="929" priority="876">
      <formula>$O$102&gt;1</formula>
    </cfRule>
  </conditionalFormatting>
  <conditionalFormatting sqref="W114">
    <cfRule type="expression" dxfId="928" priority="875">
      <formula>$O$104&gt;1</formula>
    </cfRule>
  </conditionalFormatting>
  <conditionalFormatting sqref="Y108">
    <cfRule type="expression" dxfId="927" priority="874">
      <formula>$O$93&gt;1</formula>
    </cfRule>
  </conditionalFormatting>
  <conditionalFormatting sqref="Y109">
    <cfRule type="expression" dxfId="926" priority="873">
      <formula>$O$95&gt;1</formula>
    </cfRule>
  </conditionalFormatting>
  <conditionalFormatting sqref="Y110">
    <cfRule type="expression" dxfId="925" priority="872">
      <formula>$O$97&gt;1</formula>
    </cfRule>
  </conditionalFormatting>
  <conditionalFormatting sqref="Y111">
    <cfRule type="expression" dxfId="924" priority="871">
      <formula>$O$99&gt;1</formula>
    </cfRule>
  </conditionalFormatting>
  <conditionalFormatting sqref="Y112">
    <cfRule type="expression" dxfId="923" priority="870">
      <formula>$O$101&gt;1</formula>
    </cfRule>
  </conditionalFormatting>
  <conditionalFormatting sqref="Y113">
    <cfRule type="expression" dxfId="922" priority="869">
      <formula>$O$103&gt;1</formula>
    </cfRule>
  </conditionalFormatting>
  <conditionalFormatting sqref="Y114">
    <cfRule type="expression" dxfId="921" priority="868">
      <formula>$O$105&gt;1</formula>
    </cfRule>
  </conditionalFormatting>
  <conditionalFormatting sqref="AJ116">
    <cfRule type="expression" dxfId="920" priority="863">
      <formula>AO116&gt;1</formula>
    </cfRule>
  </conditionalFormatting>
  <conditionalFormatting sqref="AL116">
    <cfRule type="expression" dxfId="919" priority="862">
      <formula>AO111&gt;1</formula>
    </cfRule>
  </conditionalFormatting>
  <conditionalFormatting sqref="AL117">
    <cfRule type="expression" dxfId="918" priority="861">
      <formula>AO112&gt;1</formula>
    </cfRule>
  </conditionalFormatting>
  <conditionalFormatting sqref="AL118">
    <cfRule type="expression" dxfId="917" priority="860">
      <formula>AO113&gt;1</formula>
    </cfRule>
  </conditionalFormatting>
  <conditionalFormatting sqref="AL119">
    <cfRule type="expression" dxfId="916" priority="859">
      <formula>AO114&gt;1</formula>
    </cfRule>
  </conditionalFormatting>
  <conditionalFormatting sqref="AJ117">
    <cfRule type="expression" dxfId="915" priority="858">
      <formula>AO117&gt;1</formula>
    </cfRule>
  </conditionalFormatting>
  <conditionalFormatting sqref="AJ118">
    <cfRule type="expression" dxfId="914" priority="857">
      <formula>AO118&gt;1</formula>
    </cfRule>
  </conditionalFormatting>
  <conditionalFormatting sqref="AJ119">
    <cfRule type="expression" dxfId="913" priority="856">
      <formula>AO119&gt;1</formula>
    </cfRule>
  </conditionalFormatting>
  <conditionalFormatting sqref="AJ121">
    <cfRule type="expression" dxfId="912" priority="855">
      <formula>AO121&gt;1</formula>
    </cfRule>
  </conditionalFormatting>
  <conditionalFormatting sqref="AJ122">
    <cfRule type="expression" dxfId="911" priority="854">
      <formula>AO122&gt;1</formula>
    </cfRule>
  </conditionalFormatting>
  <conditionalFormatting sqref="AL121">
    <cfRule type="expression" dxfId="910" priority="853">
      <formula>AO109&gt;1</formula>
    </cfRule>
  </conditionalFormatting>
  <conditionalFormatting sqref="AL122">
    <cfRule type="expression" dxfId="909" priority="852">
      <formula>AO110&gt;1</formula>
    </cfRule>
  </conditionalFormatting>
  <conditionalFormatting sqref="AJ124">
    <cfRule type="expression" dxfId="908" priority="851">
      <formula>AP124&gt;1</formula>
    </cfRule>
  </conditionalFormatting>
  <conditionalFormatting sqref="AL124">
    <cfRule type="expression" dxfId="907" priority="850">
      <formula>AO107&gt;1</formula>
    </cfRule>
  </conditionalFormatting>
  <conditionalFormatting sqref="AJ126">
    <cfRule type="expression" dxfId="906" priority="849">
      <formula>AP126&gt;1</formula>
    </cfRule>
  </conditionalFormatting>
  <conditionalFormatting sqref="AL126">
    <cfRule type="expression" dxfId="905" priority="848">
      <formula>AO108&gt;1</formula>
    </cfRule>
  </conditionalFormatting>
  <conditionalFormatting sqref="AJ107">
    <cfRule type="expression" dxfId="904" priority="847">
      <formula>$O$90&gt;1</formula>
    </cfRule>
  </conditionalFormatting>
  <conditionalFormatting sqref="AL107">
    <cfRule type="expression" dxfId="903" priority="846">
      <formula>$O$91&gt;1</formula>
    </cfRule>
  </conditionalFormatting>
  <conditionalFormatting sqref="AJ108">
    <cfRule type="expression" dxfId="902" priority="845">
      <formula>$O$92&gt;1</formula>
    </cfRule>
  </conditionalFormatting>
  <conditionalFormatting sqref="AJ109">
    <cfRule type="expression" dxfId="901" priority="844">
      <formula>$O$94&gt;1</formula>
    </cfRule>
  </conditionalFormatting>
  <conditionalFormatting sqref="AJ110">
    <cfRule type="expression" dxfId="900" priority="843">
      <formula>$O$96&gt;1</formula>
    </cfRule>
  </conditionalFormatting>
  <conditionalFormatting sqref="AJ111">
    <cfRule type="expression" dxfId="899" priority="842">
      <formula>$O$98&gt;1</formula>
    </cfRule>
  </conditionalFormatting>
  <conditionalFormatting sqref="AJ112">
    <cfRule type="expression" dxfId="898" priority="841">
      <formula>$O$100&gt;1</formula>
    </cfRule>
  </conditionalFormatting>
  <conditionalFormatting sqref="AJ113">
    <cfRule type="expression" dxfId="897" priority="840">
      <formula>$O$102&gt;1</formula>
    </cfRule>
  </conditionalFormatting>
  <conditionalFormatting sqref="AJ114">
    <cfRule type="expression" dxfId="896" priority="839">
      <formula>$O$104&gt;1</formula>
    </cfRule>
  </conditionalFormatting>
  <conditionalFormatting sqref="AL108">
    <cfRule type="expression" dxfId="895" priority="838">
      <formula>$O$93&gt;1</formula>
    </cfRule>
  </conditionalFormatting>
  <conditionalFormatting sqref="AL109">
    <cfRule type="expression" dxfId="894" priority="837">
      <formula>$O$95&gt;1</formula>
    </cfRule>
  </conditionalFormatting>
  <conditionalFormatting sqref="AL110">
    <cfRule type="expression" dxfId="893" priority="836">
      <formula>$O$97&gt;1</formula>
    </cfRule>
  </conditionalFormatting>
  <conditionalFormatting sqref="AL111">
    <cfRule type="expression" dxfId="892" priority="835">
      <formula>$O$99&gt;1</formula>
    </cfRule>
  </conditionalFormatting>
  <conditionalFormatting sqref="AL112">
    <cfRule type="expression" dxfId="891" priority="834">
      <formula>$O$101&gt;1</formula>
    </cfRule>
  </conditionalFormatting>
  <conditionalFormatting sqref="AL113">
    <cfRule type="expression" dxfId="890" priority="833">
      <formula>$O$103&gt;1</formula>
    </cfRule>
  </conditionalFormatting>
  <conditionalFormatting sqref="AL114">
    <cfRule type="expression" dxfId="889" priority="832">
      <formula>$O$105&gt;1</formula>
    </cfRule>
  </conditionalFormatting>
  <conditionalFormatting sqref="AW116">
    <cfRule type="expression" dxfId="888" priority="827">
      <formula>BB116&gt;1</formula>
    </cfRule>
  </conditionalFormatting>
  <conditionalFormatting sqref="AY116">
    <cfRule type="expression" dxfId="887" priority="826">
      <formula>BB111&gt;1</formula>
    </cfRule>
  </conditionalFormatting>
  <conditionalFormatting sqref="AY117">
    <cfRule type="expression" dxfId="886" priority="825">
      <formula>BB112&gt;1</formula>
    </cfRule>
  </conditionalFormatting>
  <conditionalFormatting sqref="AY118">
    <cfRule type="expression" dxfId="885" priority="824">
      <formula>BB113&gt;1</formula>
    </cfRule>
  </conditionalFormatting>
  <conditionalFormatting sqref="AY119">
    <cfRule type="expression" dxfId="884" priority="823">
      <formula>BB114&gt;1</formula>
    </cfRule>
  </conditionalFormatting>
  <conditionalFormatting sqref="AW117">
    <cfRule type="expression" dxfId="883" priority="822">
      <formula>BB117&gt;1</formula>
    </cfRule>
  </conditionalFormatting>
  <conditionalFormatting sqref="AW118">
    <cfRule type="expression" dxfId="882" priority="821">
      <formula>BB118&gt;1</formula>
    </cfRule>
  </conditionalFormatting>
  <conditionalFormatting sqref="AW119">
    <cfRule type="expression" dxfId="881" priority="820">
      <formula>BB119&gt;1</formula>
    </cfRule>
  </conditionalFormatting>
  <conditionalFormatting sqref="AW121">
    <cfRule type="expression" dxfId="880" priority="819">
      <formula>BB121&gt;1</formula>
    </cfRule>
  </conditionalFormatting>
  <conditionalFormatting sqref="AW122">
    <cfRule type="expression" dxfId="879" priority="818">
      <formula>BB122&gt;1</formula>
    </cfRule>
  </conditionalFormatting>
  <conditionalFormatting sqref="AY121">
    <cfRule type="expression" dxfId="878" priority="817">
      <formula>BB109&gt;1</formula>
    </cfRule>
  </conditionalFormatting>
  <conditionalFormatting sqref="AY122">
    <cfRule type="expression" dxfId="877" priority="816">
      <formula>BB110&gt;1</formula>
    </cfRule>
  </conditionalFormatting>
  <conditionalFormatting sqref="AW124">
    <cfRule type="expression" dxfId="876" priority="815">
      <formula>BC124&gt;1</formula>
    </cfRule>
  </conditionalFormatting>
  <conditionalFormatting sqref="AY124">
    <cfRule type="expression" dxfId="875" priority="814">
      <formula>BB107&gt;1</formula>
    </cfRule>
  </conditionalFormatting>
  <conditionalFormatting sqref="AW126">
    <cfRule type="expression" dxfId="874" priority="813">
      <formula>BC126&gt;1</formula>
    </cfRule>
  </conditionalFormatting>
  <conditionalFormatting sqref="AY126">
    <cfRule type="expression" dxfId="873" priority="812">
      <formula>BB108&gt;1</formula>
    </cfRule>
  </conditionalFormatting>
  <conditionalFormatting sqref="AW107">
    <cfRule type="expression" dxfId="872" priority="811">
      <formula>$O$90&gt;1</formula>
    </cfRule>
  </conditionalFormatting>
  <conditionalFormatting sqref="AY107">
    <cfRule type="expression" dxfId="871" priority="810">
      <formula>$O$91&gt;1</formula>
    </cfRule>
  </conditionalFormatting>
  <conditionalFormatting sqref="AW108">
    <cfRule type="expression" dxfId="870" priority="809">
      <formula>$O$92&gt;1</formula>
    </cfRule>
  </conditionalFormatting>
  <conditionalFormatting sqref="AW109">
    <cfRule type="expression" dxfId="869" priority="808">
      <formula>$O$94&gt;1</formula>
    </cfRule>
  </conditionalFormatting>
  <conditionalFormatting sqref="AW110">
    <cfRule type="expression" dxfId="868" priority="807">
      <formula>$O$96&gt;1</formula>
    </cfRule>
  </conditionalFormatting>
  <conditionalFormatting sqref="AW111">
    <cfRule type="expression" dxfId="867" priority="806">
      <formula>$O$98&gt;1</formula>
    </cfRule>
  </conditionalFormatting>
  <conditionalFormatting sqref="AW112">
    <cfRule type="expression" dxfId="866" priority="805">
      <formula>$O$100&gt;1</formula>
    </cfRule>
  </conditionalFormatting>
  <conditionalFormatting sqref="AW113">
    <cfRule type="expression" dxfId="865" priority="804">
      <formula>$O$102&gt;1</formula>
    </cfRule>
  </conditionalFormatting>
  <conditionalFormatting sqref="AW114">
    <cfRule type="expression" dxfId="864" priority="803">
      <formula>$O$104&gt;1</formula>
    </cfRule>
  </conditionalFormatting>
  <conditionalFormatting sqref="AY108">
    <cfRule type="expression" dxfId="863" priority="802">
      <formula>$O$93&gt;1</formula>
    </cfRule>
  </conditionalFormatting>
  <conditionalFormatting sqref="AY109">
    <cfRule type="expression" dxfId="862" priority="801">
      <formula>$O$95&gt;1</formula>
    </cfRule>
  </conditionalFormatting>
  <conditionalFormatting sqref="AY110">
    <cfRule type="expression" dxfId="861" priority="800">
      <formula>$O$97&gt;1</formula>
    </cfRule>
  </conditionalFormatting>
  <conditionalFormatting sqref="AY111">
    <cfRule type="expression" dxfId="860" priority="799">
      <formula>$O$99&gt;1</formula>
    </cfRule>
  </conditionalFormatting>
  <conditionalFormatting sqref="AY112">
    <cfRule type="expression" dxfId="859" priority="798">
      <formula>$O$101&gt;1</formula>
    </cfRule>
  </conditionalFormatting>
  <conditionalFormatting sqref="AY113">
    <cfRule type="expression" dxfId="858" priority="797">
      <formula>$O$103&gt;1</formula>
    </cfRule>
  </conditionalFormatting>
  <conditionalFormatting sqref="AY114">
    <cfRule type="expression" dxfId="857" priority="796">
      <formula>$O$105&gt;1</formula>
    </cfRule>
  </conditionalFormatting>
  <conditionalFormatting sqref="BJ116">
    <cfRule type="expression" dxfId="856" priority="791">
      <formula>BO116&gt;1</formula>
    </cfRule>
  </conditionalFormatting>
  <conditionalFormatting sqref="BL116">
    <cfRule type="expression" dxfId="855" priority="790">
      <formula>BO111&gt;1</formula>
    </cfRule>
  </conditionalFormatting>
  <conditionalFormatting sqref="BL117">
    <cfRule type="expression" dxfId="854" priority="789">
      <formula>BO112&gt;1</formula>
    </cfRule>
  </conditionalFormatting>
  <conditionalFormatting sqref="BL118">
    <cfRule type="expression" dxfId="853" priority="788">
      <formula>BO113&gt;1</formula>
    </cfRule>
  </conditionalFormatting>
  <conditionalFormatting sqref="BL119">
    <cfRule type="expression" dxfId="852" priority="787">
      <formula>BO114&gt;1</formula>
    </cfRule>
  </conditionalFormatting>
  <conditionalFormatting sqref="BJ117">
    <cfRule type="expression" dxfId="851" priority="786">
      <formula>BO117&gt;1</formula>
    </cfRule>
  </conditionalFormatting>
  <conditionalFormatting sqref="BJ118">
    <cfRule type="expression" dxfId="850" priority="785">
      <formula>BO118&gt;1</formula>
    </cfRule>
  </conditionalFormatting>
  <conditionalFormatting sqref="BJ119">
    <cfRule type="expression" dxfId="849" priority="784">
      <formula>BO119&gt;1</formula>
    </cfRule>
  </conditionalFormatting>
  <conditionalFormatting sqref="BJ121">
    <cfRule type="expression" dxfId="848" priority="783">
      <formula>BO121&gt;1</formula>
    </cfRule>
  </conditionalFormatting>
  <conditionalFormatting sqref="BJ122">
    <cfRule type="expression" dxfId="847" priority="782">
      <formula>BO122&gt;1</formula>
    </cfRule>
  </conditionalFormatting>
  <conditionalFormatting sqref="BL121">
    <cfRule type="expression" dxfId="846" priority="781">
      <formula>BO109&gt;1</formula>
    </cfRule>
  </conditionalFormatting>
  <conditionalFormatting sqref="BL122">
    <cfRule type="expression" dxfId="845" priority="780">
      <formula>BO110&gt;1</formula>
    </cfRule>
  </conditionalFormatting>
  <conditionalFormatting sqref="BJ124">
    <cfRule type="expression" dxfId="844" priority="779">
      <formula>BP124&gt;1</formula>
    </cfRule>
  </conditionalFormatting>
  <conditionalFormatting sqref="BL124">
    <cfRule type="expression" dxfId="843" priority="778">
      <formula>BO107&gt;1</formula>
    </cfRule>
  </conditionalFormatting>
  <conditionalFormatting sqref="BJ126">
    <cfRule type="expression" dxfId="842" priority="777">
      <formula>BP126&gt;1</formula>
    </cfRule>
  </conditionalFormatting>
  <conditionalFormatting sqref="BL126">
    <cfRule type="expression" dxfId="841" priority="776">
      <formula>BO108&gt;1</formula>
    </cfRule>
  </conditionalFormatting>
  <conditionalFormatting sqref="BJ107">
    <cfRule type="expression" dxfId="840" priority="775">
      <formula>$O$90&gt;1</formula>
    </cfRule>
  </conditionalFormatting>
  <conditionalFormatting sqref="BL107">
    <cfRule type="expression" dxfId="839" priority="774">
      <formula>$O$91&gt;1</formula>
    </cfRule>
  </conditionalFormatting>
  <conditionalFormatting sqref="BJ108">
    <cfRule type="expression" dxfId="838" priority="773">
      <formula>$O$92&gt;1</formula>
    </cfRule>
  </conditionalFormatting>
  <conditionalFormatting sqref="BJ109">
    <cfRule type="expression" dxfId="837" priority="772">
      <formula>$O$94&gt;1</formula>
    </cfRule>
  </conditionalFormatting>
  <conditionalFormatting sqref="BJ110">
    <cfRule type="expression" dxfId="836" priority="771">
      <formula>$O$96&gt;1</formula>
    </cfRule>
  </conditionalFormatting>
  <conditionalFormatting sqref="BJ111">
    <cfRule type="expression" dxfId="835" priority="770">
      <formula>$O$98&gt;1</formula>
    </cfRule>
  </conditionalFormatting>
  <conditionalFormatting sqref="BJ112">
    <cfRule type="expression" dxfId="834" priority="769">
      <formula>$O$100&gt;1</formula>
    </cfRule>
  </conditionalFormatting>
  <conditionalFormatting sqref="BJ113">
    <cfRule type="expression" dxfId="833" priority="768">
      <formula>$O$102&gt;1</formula>
    </cfRule>
  </conditionalFormatting>
  <conditionalFormatting sqref="BJ114">
    <cfRule type="expression" dxfId="832" priority="767">
      <formula>$O$104&gt;1</formula>
    </cfRule>
  </conditionalFormatting>
  <conditionalFormatting sqref="BL108">
    <cfRule type="expression" dxfId="831" priority="766">
      <formula>$O$93&gt;1</formula>
    </cfRule>
  </conditionalFormatting>
  <conditionalFormatting sqref="BL109">
    <cfRule type="expression" dxfId="830" priority="765">
      <formula>$O$95&gt;1</formula>
    </cfRule>
  </conditionalFormatting>
  <conditionalFormatting sqref="BL110">
    <cfRule type="expression" dxfId="829" priority="764">
      <formula>$O$97&gt;1</formula>
    </cfRule>
  </conditionalFormatting>
  <conditionalFormatting sqref="BL111">
    <cfRule type="expression" dxfId="828" priority="763">
      <formula>$O$99&gt;1</formula>
    </cfRule>
  </conditionalFormatting>
  <conditionalFormatting sqref="BL112">
    <cfRule type="expression" dxfId="827" priority="762">
      <formula>$O$101&gt;1</formula>
    </cfRule>
  </conditionalFormatting>
  <conditionalFormatting sqref="BL113">
    <cfRule type="expression" dxfId="826" priority="761">
      <formula>$O$103&gt;1</formula>
    </cfRule>
  </conditionalFormatting>
  <conditionalFormatting sqref="BL114">
    <cfRule type="expression" dxfId="825" priority="760">
      <formula>$O$105&gt;1</formula>
    </cfRule>
  </conditionalFormatting>
  <conditionalFormatting sqref="BW116">
    <cfRule type="expression" dxfId="824" priority="755">
      <formula>CB116&gt;1</formula>
    </cfRule>
  </conditionalFormatting>
  <conditionalFormatting sqref="BY116">
    <cfRule type="expression" dxfId="823" priority="754">
      <formula>CB111&gt;1</formula>
    </cfRule>
  </conditionalFormatting>
  <conditionalFormatting sqref="BY117">
    <cfRule type="expression" dxfId="822" priority="753">
      <formula>CB112&gt;1</formula>
    </cfRule>
  </conditionalFormatting>
  <conditionalFormatting sqref="BY118">
    <cfRule type="expression" dxfId="821" priority="752">
      <formula>CB113&gt;1</formula>
    </cfRule>
  </conditionalFormatting>
  <conditionalFormatting sqref="BY119">
    <cfRule type="expression" dxfId="820" priority="751">
      <formula>CB114&gt;1</formula>
    </cfRule>
  </conditionalFormatting>
  <conditionalFormatting sqref="BW117">
    <cfRule type="expression" dxfId="819" priority="750">
      <formula>CB117&gt;1</formula>
    </cfRule>
  </conditionalFormatting>
  <conditionalFormatting sqref="BW118">
    <cfRule type="expression" dxfId="818" priority="749">
      <formula>CB118&gt;1</formula>
    </cfRule>
  </conditionalFormatting>
  <conditionalFormatting sqref="BW119">
    <cfRule type="expression" dxfId="817" priority="748">
      <formula>CB119&gt;1</formula>
    </cfRule>
  </conditionalFormatting>
  <conditionalFormatting sqref="BW121">
    <cfRule type="expression" dxfId="816" priority="747">
      <formula>CB121&gt;1</formula>
    </cfRule>
  </conditionalFormatting>
  <conditionalFormatting sqref="BW122">
    <cfRule type="expression" dxfId="815" priority="746">
      <formula>CB122&gt;1</formula>
    </cfRule>
  </conditionalFormatting>
  <conditionalFormatting sqref="BY121">
    <cfRule type="expression" dxfId="814" priority="745">
      <formula>CB109&gt;1</formula>
    </cfRule>
  </conditionalFormatting>
  <conditionalFormatting sqref="BY122">
    <cfRule type="expression" dxfId="813" priority="744">
      <formula>CB110&gt;1</formula>
    </cfRule>
  </conditionalFormatting>
  <conditionalFormatting sqref="BW124">
    <cfRule type="expression" dxfId="812" priority="743">
      <formula>CC124&gt;1</formula>
    </cfRule>
  </conditionalFormatting>
  <conditionalFormatting sqref="BY124">
    <cfRule type="expression" dxfId="811" priority="742">
      <formula>CB107&gt;1</formula>
    </cfRule>
  </conditionalFormatting>
  <conditionalFormatting sqref="BW126">
    <cfRule type="expression" dxfId="810" priority="741">
      <formula>CC126&gt;1</formula>
    </cfRule>
  </conditionalFormatting>
  <conditionalFormatting sqref="BY126">
    <cfRule type="expression" dxfId="809" priority="740">
      <formula>CB108&gt;1</formula>
    </cfRule>
  </conditionalFormatting>
  <conditionalFormatting sqref="BW107">
    <cfRule type="expression" dxfId="808" priority="739">
      <formula>$O$90&gt;1</formula>
    </cfRule>
  </conditionalFormatting>
  <conditionalFormatting sqref="BY107">
    <cfRule type="expression" dxfId="807" priority="738">
      <formula>$O$91&gt;1</formula>
    </cfRule>
  </conditionalFormatting>
  <conditionalFormatting sqref="BW108">
    <cfRule type="expression" dxfId="806" priority="737">
      <formula>$O$92&gt;1</formula>
    </cfRule>
  </conditionalFormatting>
  <conditionalFormatting sqref="BW109">
    <cfRule type="expression" dxfId="805" priority="736">
      <formula>$O$94&gt;1</formula>
    </cfRule>
  </conditionalFormatting>
  <conditionalFormatting sqref="BW110">
    <cfRule type="expression" dxfId="804" priority="735">
      <formula>$O$96&gt;1</formula>
    </cfRule>
  </conditionalFormatting>
  <conditionalFormatting sqref="BW111">
    <cfRule type="expression" dxfId="803" priority="734">
      <formula>$O$98&gt;1</formula>
    </cfRule>
  </conditionalFormatting>
  <conditionalFormatting sqref="BW112">
    <cfRule type="expression" dxfId="802" priority="733">
      <formula>$O$100&gt;1</formula>
    </cfRule>
  </conditionalFormatting>
  <conditionalFormatting sqref="BW113">
    <cfRule type="expression" dxfId="801" priority="732">
      <formula>$O$102&gt;1</formula>
    </cfRule>
  </conditionalFormatting>
  <conditionalFormatting sqref="BW114">
    <cfRule type="expression" dxfId="800" priority="731">
      <formula>$O$104&gt;1</formula>
    </cfRule>
  </conditionalFormatting>
  <conditionalFormatting sqref="BY108">
    <cfRule type="expression" dxfId="799" priority="730">
      <formula>$O$93&gt;1</formula>
    </cfRule>
  </conditionalFormatting>
  <conditionalFormatting sqref="BY109">
    <cfRule type="expression" dxfId="798" priority="729">
      <formula>$O$95&gt;1</formula>
    </cfRule>
  </conditionalFormatting>
  <conditionalFormatting sqref="BY110">
    <cfRule type="expression" dxfId="797" priority="728">
      <formula>$O$97&gt;1</formula>
    </cfRule>
  </conditionalFormatting>
  <conditionalFormatting sqref="BY111">
    <cfRule type="expression" dxfId="796" priority="727">
      <formula>$O$99&gt;1</formula>
    </cfRule>
  </conditionalFormatting>
  <conditionalFormatting sqref="BY112">
    <cfRule type="expression" dxfId="795" priority="726">
      <formula>$O$101&gt;1</formula>
    </cfRule>
  </conditionalFormatting>
  <conditionalFormatting sqref="BY113">
    <cfRule type="expression" dxfId="794" priority="725">
      <formula>$O$103&gt;1</formula>
    </cfRule>
  </conditionalFormatting>
  <conditionalFormatting sqref="BY114">
    <cfRule type="expression" dxfId="793" priority="724">
      <formula>$O$105&gt;1</formula>
    </cfRule>
  </conditionalFormatting>
  <conditionalFormatting sqref="CJ116">
    <cfRule type="expression" dxfId="792" priority="719">
      <formula>CO116&gt;1</formula>
    </cfRule>
  </conditionalFormatting>
  <conditionalFormatting sqref="CL116">
    <cfRule type="expression" dxfId="791" priority="718">
      <formula>CO111&gt;1</formula>
    </cfRule>
  </conditionalFormatting>
  <conditionalFormatting sqref="CL117">
    <cfRule type="expression" dxfId="790" priority="717">
      <formula>CO112&gt;1</formula>
    </cfRule>
  </conditionalFormatting>
  <conditionalFormatting sqref="CL118">
    <cfRule type="expression" dxfId="789" priority="716">
      <formula>CO113&gt;1</formula>
    </cfRule>
  </conditionalFormatting>
  <conditionalFormatting sqref="CL119">
    <cfRule type="expression" dxfId="788" priority="715">
      <formula>CO114&gt;1</formula>
    </cfRule>
  </conditionalFormatting>
  <conditionalFormatting sqref="CJ117">
    <cfRule type="expression" dxfId="787" priority="714">
      <formula>CO117&gt;1</formula>
    </cfRule>
  </conditionalFormatting>
  <conditionalFormatting sqref="CJ118">
    <cfRule type="expression" dxfId="786" priority="713">
      <formula>CO118&gt;1</formula>
    </cfRule>
  </conditionalFormatting>
  <conditionalFormatting sqref="CJ119">
    <cfRule type="expression" dxfId="785" priority="712">
      <formula>CO119&gt;1</formula>
    </cfRule>
  </conditionalFormatting>
  <conditionalFormatting sqref="CJ121">
    <cfRule type="expression" dxfId="784" priority="711">
      <formula>CO121&gt;1</formula>
    </cfRule>
  </conditionalFormatting>
  <conditionalFormatting sqref="CJ122">
    <cfRule type="expression" dxfId="783" priority="710">
      <formula>CO122&gt;1</formula>
    </cfRule>
  </conditionalFormatting>
  <conditionalFormatting sqref="CL121">
    <cfRule type="expression" dxfId="782" priority="709">
      <formula>CO109&gt;1</formula>
    </cfRule>
  </conditionalFormatting>
  <conditionalFormatting sqref="CL122">
    <cfRule type="expression" dxfId="781" priority="708">
      <formula>CO110&gt;1</formula>
    </cfRule>
  </conditionalFormatting>
  <conditionalFormatting sqref="CJ124">
    <cfRule type="expression" dxfId="780" priority="707">
      <formula>CP124&gt;1</formula>
    </cfRule>
  </conditionalFormatting>
  <conditionalFormatting sqref="CL124">
    <cfRule type="expression" dxfId="779" priority="706">
      <formula>CO107&gt;1</formula>
    </cfRule>
  </conditionalFormatting>
  <conditionalFormatting sqref="CJ126">
    <cfRule type="expression" dxfId="778" priority="705">
      <formula>CP126&gt;1</formula>
    </cfRule>
  </conditionalFormatting>
  <conditionalFormatting sqref="CL126">
    <cfRule type="expression" dxfId="777" priority="704">
      <formula>CO108&gt;1</formula>
    </cfRule>
  </conditionalFormatting>
  <conditionalFormatting sqref="CJ107">
    <cfRule type="expression" dxfId="776" priority="703">
      <formula>$O$90&gt;1</formula>
    </cfRule>
  </conditionalFormatting>
  <conditionalFormatting sqref="CL107">
    <cfRule type="expression" dxfId="775" priority="702">
      <formula>$O$91&gt;1</formula>
    </cfRule>
  </conditionalFormatting>
  <conditionalFormatting sqref="CJ108">
    <cfRule type="expression" dxfId="774" priority="701">
      <formula>$O$92&gt;1</formula>
    </cfRule>
  </conditionalFormatting>
  <conditionalFormatting sqref="CJ109">
    <cfRule type="expression" dxfId="773" priority="700">
      <formula>$O$94&gt;1</formula>
    </cfRule>
  </conditionalFormatting>
  <conditionalFormatting sqref="CJ110">
    <cfRule type="expression" dxfId="772" priority="699">
      <formula>$O$96&gt;1</formula>
    </cfRule>
  </conditionalFormatting>
  <conditionalFormatting sqref="CJ111">
    <cfRule type="expression" dxfId="771" priority="698">
      <formula>$O$98&gt;1</formula>
    </cfRule>
  </conditionalFormatting>
  <conditionalFormatting sqref="CJ112">
    <cfRule type="expression" dxfId="770" priority="697">
      <formula>$O$100&gt;1</formula>
    </cfRule>
  </conditionalFormatting>
  <conditionalFormatting sqref="CJ113">
    <cfRule type="expression" dxfId="769" priority="696">
      <formula>$O$102&gt;1</formula>
    </cfRule>
  </conditionalFormatting>
  <conditionalFormatting sqref="CJ114">
    <cfRule type="expression" dxfId="768" priority="695">
      <formula>$O$104&gt;1</formula>
    </cfRule>
  </conditionalFormatting>
  <conditionalFormatting sqref="CL108">
    <cfRule type="expression" dxfId="767" priority="694">
      <formula>$O$93&gt;1</formula>
    </cfRule>
  </conditionalFormatting>
  <conditionalFormatting sqref="CL109">
    <cfRule type="expression" dxfId="766" priority="693">
      <formula>$O$95&gt;1</formula>
    </cfRule>
  </conditionalFormatting>
  <conditionalFormatting sqref="CL110">
    <cfRule type="expression" dxfId="765" priority="692">
      <formula>$O$97&gt;1</formula>
    </cfRule>
  </conditionalFormatting>
  <conditionalFormatting sqref="CL111">
    <cfRule type="expression" dxfId="764" priority="691">
      <formula>$O$99&gt;1</formula>
    </cfRule>
  </conditionalFormatting>
  <conditionalFormatting sqref="CL112">
    <cfRule type="expression" dxfId="763" priority="690">
      <formula>$O$101&gt;1</formula>
    </cfRule>
  </conditionalFormatting>
  <conditionalFormatting sqref="CL113">
    <cfRule type="expression" dxfId="762" priority="689">
      <formula>$O$103&gt;1</formula>
    </cfRule>
  </conditionalFormatting>
  <conditionalFormatting sqref="CL114">
    <cfRule type="expression" dxfId="761" priority="688">
      <formula>$O$105&gt;1</formula>
    </cfRule>
  </conditionalFormatting>
  <conditionalFormatting sqref="CW116">
    <cfRule type="expression" dxfId="760" priority="683">
      <formula>DB116&gt;1</formula>
    </cfRule>
  </conditionalFormatting>
  <conditionalFormatting sqref="CY116">
    <cfRule type="expression" dxfId="759" priority="682">
      <formula>DB111&gt;1</formula>
    </cfRule>
  </conditionalFormatting>
  <conditionalFormatting sqref="CY117">
    <cfRule type="expression" dxfId="758" priority="681">
      <formula>DB112&gt;1</formula>
    </cfRule>
  </conditionalFormatting>
  <conditionalFormatting sqref="CY118">
    <cfRule type="expression" dxfId="757" priority="680">
      <formula>DB113&gt;1</formula>
    </cfRule>
  </conditionalFormatting>
  <conditionalFormatting sqref="CY119">
    <cfRule type="expression" dxfId="756" priority="679">
      <formula>DB114&gt;1</formula>
    </cfRule>
  </conditionalFormatting>
  <conditionalFormatting sqref="CW117">
    <cfRule type="expression" dxfId="755" priority="678">
      <formula>DB117&gt;1</formula>
    </cfRule>
  </conditionalFormatting>
  <conditionalFormatting sqref="CW118">
    <cfRule type="expression" dxfId="754" priority="677">
      <formula>DB118&gt;1</formula>
    </cfRule>
  </conditionalFormatting>
  <conditionalFormatting sqref="CW119">
    <cfRule type="expression" dxfId="753" priority="676">
      <formula>DB119&gt;1</formula>
    </cfRule>
  </conditionalFormatting>
  <conditionalFormatting sqref="CW121">
    <cfRule type="expression" dxfId="752" priority="675">
      <formula>DB121&gt;1</formula>
    </cfRule>
  </conditionalFormatting>
  <conditionalFormatting sqref="CW122">
    <cfRule type="expression" dxfId="751" priority="674">
      <formula>DB122&gt;1</formula>
    </cfRule>
  </conditionalFormatting>
  <conditionalFormatting sqref="CY121">
    <cfRule type="expression" dxfId="750" priority="673">
      <formula>DB109&gt;1</formula>
    </cfRule>
  </conditionalFormatting>
  <conditionalFormatting sqref="CY122">
    <cfRule type="expression" dxfId="749" priority="672">
      <formula>DB110&gt;1</formula>
    </cfRule>
  </conditionalFormatting>
  <conditionalFormatting sqref="CW124">
    <cfRule type="expression" dxfId="748" priority="671">
      <formula>DC124&gt;1</formula>
    </cfRule>
  </conditionalFormatting>
  <conditionalFormatting sqref="CY124">
    <cfRule type="expression" dxfId="747" priority="670">
      <formula>DB107&gt;1</formula>
    </cfRule>
  </conditionalFormatting>
  <conditionalFormatting sqref="CW126">
    <cfRule type="expression" dxfId="746" priority="669">
      <formula>DC126&gt;1</formula>
    </cfRule>
  </conditionalFormatting>
  <conditionalFormatting sqref="CY126">
    <cfRule type="expression" dxfId="745" priority="668">
      <formula>DB108&gt;1</formula>
    </cfRule>
  </conditionalFormatting>
  <conditionalFormatting sqref="CW107">
    <cfRule type="expression" dxfId="744" priority="667">
      <formula>$O$90&gt;1</formula>
    </cfRule>
  </conditionalFormatting>
  <conditionalFormatting sqref="CY107">
    <cfRule type="expression" dxfId="743" priority="666">
      <formula>$O$91&gt;1</formula>
    </cfRule>
  </conditionalFormatting>
  <conditionalFormatting sqref="CW108">
    <cfRule type="expression" dxfId="742" priority="665">
      <formula>$O$92&gt;1</formula>
    </cfRule>
  </conditionalFormatting>
  <conditionalFormatting sqref="CW109">
    <cfRule type="expression" dxfId="741" priority="664">
      <formula>$O$94&gt;1</formula>
    </cfRule>
  </conditionalFormatting>
  <conditionalFormatting sqref="CW110">
    <cfRule type="expression" dxfId="740" priority="663">
      <formula>$O$96&gt;1</formula>
    </cfRule>
  </conditionalFormatting>
  <conditionalFormatting sqref="CW111">
    <cfRule type="expression" dxfId="739" priority="662">
      <formula>$O$98&gt;1</formula>
    </cfRule>
  </conditionalFormatting>
  <conditionalFormatting sqref="CW112">
    <cfRule type="expression" dxfId="738" priority="661">
      <formula>$O$100&gt;1</formula>
    </cfRule>
  </conditionalFormatting>
  <conditionalFormatting sqref="CW113">
    <cfRule type="expression" dxfId="737" priority="660">
      <formula>$O$102&gt;1</formula>
    </cfRule>
  </conditionalFormatting>
  <conditionalFormatting sqref="CW114">
    <cfRule type="expression" dxfId="736" priority="659">
      <formula>$O$104&gt;1</formula>
    </cfRule>
  </conditionalFormatting>
  <conditionalFormatting sqref="CY108">
    <cfRule type="expression" dxfId="735" priority="658">
      <formula>$O$93&gt;1</formula>
    </cfRule>
  </conditionalFormatting>
  <conditionalFormatting sqref="CY109">
    <cfRule type="expression" dxfId="734" priority="657">
      <formula>$O$95&gt;1</formula>
    </cfRule>
  </conditionalFormatting>
  <conditionalFormatting sqref="CY110">
    <cfRule type="expression" dxfId="733" priority="656">
      <formula>$O$97&gt;1</formula>
    </cfRule>
  </conditionalFormatting>
  <conditionalFormatting sqref="CY111">
    <cfRule type="expression" dxfId="732" priority="655">
      <formula>$O$99&gt;1</formula>
    </cfRule>
  </conditionalFormatting>
  <conditionalFormatting sqref="CY112">
    <cfRule type="expression" dxfId="731" priority="654">
      <formula>$O$101&gt;1</formula>
    </cfRule>
  </conditionalFormatting>
  <conditionalFormatting sqref="CY113">
    <cfRule type="expression" dxfId="730" priority="653">
      <formula>$O$103&gt;1</formula>
    </cfRule>
  </conditionalFormatting>
  <conditionalFormatting sqref="CY114">
    <cfRule type="expression" dxfId="729" priority="652">
      <formula>$O$105&gt;1</formula>
    </cfRule>
  </conditionalFormatting>
  <conditionalFormatting sqref="DJ116">
    <cfRule type="expression" dxfId="728" priority="647">
      <formula>DO116&gt;1</formula>
    </cfRule>
  </conditionalFormatting>
  <conditionalFormatting sqref="DL116">
    <cfRule type="expression" dxfId="727" priority="646">
      <formula>DO111&gt;1</formula>
    </cfRule>
  </conditionalFormatting>
  <conditionalFormatting sqref="DL117">
    <cfRule type="expression" dxfId="726" priority="645">
      <formula>DO112&gt;1</formula>
    </cfRule>
  </conditionalFormatting>
  <conditionalFormatting sqref="DL118">
    <cfRule type="expression" dxfId="725" priority="644">
      <formula>DO113&gt;1</formula>
    </cfRule>
  </conditionalFormatting>
  <conditionalFormatting sqref="DL119">
    <cfRule type="expression" dxfId="724" priority="643">
      <formula>DO114&gt;1</formula>
    </cfRule>
  </conditionalFormatting>
  <conditionalFormatting sqref="DJ117">
    <cfRule type="expression" dxfId="723" priority="642">
      <formula>DO117&gt;1</formula>
    </cfRule>
  </conditionalFormatting>
  <conditionalFormatting sqref="DJ118">
    <cfRule type="expression" dxfId="722" priority="641">
      <formula>DO118&gt;1</formula>
    </cfRule>
  </conditionalFormatting>
  <conditionalFormatting sqref="DJ119">
    <cfRule type="expression" dxfId="721" priority="640">
      <formula>DO119&gt;1</formula>
    </cfRule>
  </conditionalFormatting>
  <conditionalFormatting sqref="DJ121">
    <cfRule type="expression" dxfId="720" priority="639">
      <formula>DO121&gt;1</formula>
    </cfRule>
  </conditionalFormatting>
  <conditionalFormatting sqref="DJ122">
    <cfRule type="expression" dxfId="719" priority="638">
      <formula>DO122&gt;1</formula>
    </cfRule>
  </conditionalFormatting>
  <conditionalFormatting sqref="DL121">
    <cfRule type="expression" dxfId="718" priority="637">
      <formula>DO109&gt;1</formula>
    </cfRule>
  </conditionalFormatting>
  <conditionalFormatting sqref="DL122">
    <cfRule type="expression" dxfId="717" priority="636">
      <formula>DO110&gt;1</formula>
    </cfRule>
  </conditionalFormatting>
  <conditionalFormatting sqref="DJ124">
    <cfRule type="expression" dxfId="716" priority="635">
      <formula>DP124&gt;1</formula>
    </cfRule>
  </conditionalFormatting>
  <conditionalFormatting sqref="DL124">
    <cfRule type="expression" dxfId="715" priority="634">
      <formula>DO107&gt;1</formula>
    </cfRule>
  </conditionalFormatting>
  <conditionalFormatting sqref="DJ126">
    <cfRule type="expression" dxfId="714" priority="633">
      <formula>DP126&gt;1</formula>
    </cfRule>
  </conditionalFormatting>
  <conditionalFormatting sqref="DL126">
    <cfRule type="expression" dxfId="713" priority="632">
      <formula>DO108&gt;1</formula>
    </cfRule>
  </conditionalFormatting>
  <conditionalFormatting sqref="DJ107">
    <cfRule type="expression" dxfId="712" priority="631">
      <formula>$O$90&gt;1</formula>
    </cfRule>
  </conditionalFormatting>
  <conditionalFormatting sqref="DL107">
    <cfRule type="expression" dxfId="711" priority="630">
      <formula>$O$91&gt;1</formula>
    </cfRule>
  </conditionalFormatting>
  <conditionalFormatting sqref="DJ108">
    <cfRule type="expression" dxfId="710" priority="629">
      <formula>$O$92&gt;1</formula>
    </cfRule>
  </conditionalFormatting>
  <conditionalFormatting sqref="DJ109">
    <cfRule type="expression" dxfId="709" priority="628">
      <formula>$O$94&gt;1</formula>
    </cfRule>
  </conditionalFormatting>
  <conditionalFormatting sqref="DJ110">
    <cfRule type="expression" dxfId="708" priority="627">
      <formula>$O$96&gt;1</formula>
    </cfRule>
  </conditionalFormatting>
  <conditionalFormatting sqref="DJ111">
    <cfRule type="expression" dxfId="707" priority="626">
      <formula>$O$98&gt;1</formula>
    </cfRule>
  </conditionalFormatting>
  <conditionalFormatting sqref="DJ112">
    <cfRule type="expression" dxfId="706" priority="625">
      <formula>$O$100&gt;1</formula>
    </cfRule>
  </conditionalFormatting>
  <conditionalFormatting sqref="DJ113">
    <cfRule type="expression" dxfId="705" priority="624">
      <formula>$O$102&gt;1</formula>
    </cfRule>
  </conditionalFormatting>
  <conditionalFormatting sqref="DJ114">
    <cfRule type="expression" dxfId="704" priority="623">
      <formula>$O$104&gt;1</formula>
    </cfRule>
  </conditionalFormatting>
  <conditionalFormatting sqref="DL108">
    <cfRule type="expression" dxfId="703" priority="622">
      <formula>$O$93&gt;1</formula>
    </cfRule>
  </conditionalFormatting>
  <conditionalFormatting sqref="DL109">
    <cfRule type="expression" dxfId="702" priority="621">
      <formula>$O$95&gt;1</formula>
    </cfRule>
  </conditionalFormatting>
  <conditionalFormatting sqref="DL110">
    <cfRule type="expression" dxfId="701" priority="620">
      <formula>$O$97&gt;1</formula>
    </cfRule>
  </conditionalFormatting>
  <conditionalFormatting sqref="DL111">
    <cfRule type="expression" dxfId="700" priority="619">
      <formula>$O$99&gt;1</formula>
    </cfRule>
  </conditionalFormatting>
  <conditionalFormatting sqref="DL112">
    <cfRule type="expression" dxfId="699" priority="618">
      <formula>$O$101&gt;1</formula>
    </cfRule>
  </conditionalFormatting>
  <conditionalFormatting sqref="DL113">
    <cfRule type="expression" dxfId="698" priority="617">
      <formula>$O$103&gt;1</formula>
    </cfRule>
  </conditionalFormatting>
  <conditionalFormatting sqref="DL114">
    <cfRule type="expression" dxfId="697" priority="616">
      <formula>$O$105&gt;1</formula>
    </cfRule>
  </conditionalFormatting>
  <conditionalFormatting sqref="DW116">
    <cfRule type="expression" dxfId="696" priority="611">
      <formula>EB116&gt;1</formula>
    </cfRule>
  </conditionalFormatting>
  <conditionalFormatting sqref="DY116">
    <cfRule type="expression" dxfId="695" priority="610">
      <formula>EB111&gt;1</formula>
    </cfRule>
  </conditionalFormatting>
  <conditionalFormatting sqref="DY117">
    <cfRule type="expression" dxfId="694" priority="609">
      <formula>EB112&gt;1</formula>
    </cfRule>
  </conditionalFormatting>
  <conditionalFormatting sqref="DY118">
    <cfRule type="expression" dxfId="693" priority="608">
      <formula>EB113&gt;1</formula>
    </cfRule>
  </conditionalFormatting>
  <conditionalFormatting sqref="DY119">
    <cfRule type="expression" dxfId="692" priority="607">
      <formula>EB114&gt;1</formula>
    </cfRule>
  </conditionalFormatting>
  <conditionalFormatting sqref="DW117">
    <cfRule type="expression" dxfId="691" priority="606">
      <formula>EB117&gt;1</formula>
    </cfRule>
  </conditionalFormatting>
  <conditionalFormatting sqref="DW118">
    <cfRule type="expression" dxfId="690" priority="605">
      <formula>EB118&gt;1</formula>
    </cfRule>
  </conditionalFormatting>
  <conditionalFormatting sqref="DW119">
    <cfRule type="expression" dxfId="689" priority="604">
      <formula>EB119&gt;1</formula>
    </cfRule>
  </conditionalFormatting>
  <conditionalFormatting sqref="DW121">
    <cfRule type="expression" dxfId="688" priority="603">
      <formula>EB121&gt;1</formula>
    </cfRule>
  </conditionalFormatting>
  <conditionalFormatting sqref="DW122">
    <cfRule type="expression" dxfId="687" priority="602">
      <formula>EB122&gt;1</formula>
    </cfRule>
  </conditionalFormatting>
  <conditionalFormatting sqref="DY121">
    <cfRule type="expression" dxfId="686" priority="601">
      <formula>EB109&gt;1</formula>
    </cfRule>
  </conditionalFormatting>
  <conditionalFormatting sqref="DY122">
    <cfRule type="expression" dxfId="685" priority="600">
      <formula>EB110&gt;1</formula>
    </cfRule>
  </conditionalFormatting>
  <conditionalFormatting sqref="DW124">
    <cfRule type="expression" dxfId="684" priority="599">
      <formula>EC124&gt;1</formula>
    </cfRule>
  </conditionalFormatting>
  <conditionalFormatting sqref="DY124">
    <cfRule type="expression" dxfId="683" priority="598">
      <formula>EB107&gt;1</formula>
    </cfRule>
  </conditionalFormatting>
  <conditionalFormatting sqref="DW126">
    <cfRule type="expression" dxfId="682" priority="597">
      <formula>EC126&gt;1</formula>
    </cfRule>
  </conditionalFormatting>
  <conditionalFormatting sqref="DY126">
    <cfRule type="expression" dxfId="681" priority="596">
      <formula>EB108&gt;1</formula>
    </cfRule>
  </conditionalFormatting>
  <conditionalFormatting sqref="DW107">
    <cfRule type="expression" dxfId="680" priority="595">
      <formula>$O$90&gt;1</formula>
    </cfRule>
  </conditionalFormatting>
  <conditionalFormatting sqref="DY107">
    <cfRule type="expression" dxfId="679" priority="594">
      <formula>$O$91&gt;1</formula>
    </cfRule>
  </conditionalFormatting>
  <conditionalFormatting sqref="DW108">
    <cfRule type="expression" dxfId="678" priority="593">
      <formula>$O$92&gt;1</formula>
    </cfRule>
  </conditionalFormatting>
  <conditionalFormatting sqref="DW109">
    <cfRule type="expression" dxfId="677" priority="592">
      <formula>$O$94&gt;1</formula>
    </cfRule>
  </conditionalFormatting>
  <conditionalFormatting sqref="DW110">
    <cfRule type="expression" dxfId="676" priority="591">
      <formula>$O$96&gt;1</formula>
    </cfRule>
  </conditionalFormatting>
  <conditionalFormatting sqref="DW111">
    <cfRule type="expression" dxfId="675" priority="590">
      <formula>$O$98&gt;1</formula>
    </cfRule>
  </conditionalFormatting>
  <conditionalFormatting sqref="DW112">
    <cfRule type="expression" dxfId="674" priority="589">
      <formula>$O$100&gt;1</formula>
    </cfRule>
  </conditionalFormatting>
  <conditionalFormatting sqref="DW113">
    <cfRule type="expression" dxfId="673" priority="588">
      <formula>$O$102&gt;1</formula>
    </cfRule>
  </conditionalFormatting>
  <conditionalFormatting sqref="DW114">
    <cfRule type="expression" dxfId="672" priority="587">
      <formula>$O$104&gt;1</formula>
    </cfRule>
  </conditionalFormatting>
  <conditionalFormatting sqref="DY108">
    <cfRule type="expression" dxfId="671" priority="586">
      <formula>$O$93&gt;1</formula>
    </cfRule>
  </conditionalFormatting>
  <conditionalFormatting sqref="DY109">
    <cfRule type="expression" dxfId="670" priority="585">
      <formula>$O$95&gt;1</formula>
    </cfRule>
  </conditionalFormatting>
  <conditionalFormatting sqref="DY110">
    <cfRule type="expression" dxfId="669" priority="584">
      <formula>$O$97&gt;1</formula>
    </cfRule>
  </conditionalFormatting>
  <conditionalFormatting sqref="DY111">
    <cfRule type="expression" dxfId="668" priority="583">
      <formula>$O$99&gt;1</formula>
    </cfRule>
  </conditionalFormatting>
  <conditionalFormatting sqref="DY112">
    <cfRule type="expression" dxfId="667" priority="582">
      <formula>$O$101&gt;1</formula>
    </cfRule>
  </conditionalFormatting>
  <conditionalFormatting sqref="DY113">
    <cfRule type="expression" dxfId="666" priority="581">
      <formula>$O$103&gt;1</formula>
    </cfRule>
  </conditionalFormatting>
  <conditionalFormatting sqref="DY114">
    <cfRule type="expression" dxfId="665" priority="580">
      <formula>$O$105&gt;1</formula>
    </cfRule>
  </conditionalFormatting>
  <conditionalFormatting sqref="EJ116">
    <cfRule type="expression" dxfId="664" priority="575">
      <formula>EO116&gt;1</formula>
    </cfRule>
  </conditionalFormatting>
  <conditionalFormatting sqref="EL116">
    <cfRule type="expression" dxfId="663" priority="574">
      <formula>EO111&gt;1</formula>
    </cfRule>
  </conditionalFormatting>
  <conditionalFormatting sqref="EL117">
    <cfRule type="expression" dxfId="662" priority="573">
      <formula>EO112&gt;1</formula>
    </cfRule>
  </conditionalFormatting>
  <conditionalFormatting sqref="EL118">
    <cfRule type="expression" dxfId="661" priority="572">
      <formula>EO113&gt;1</formula>
    </cfRule>
  </conditionalFormatting>
  <conditionalFormatting sqref="EL119">
    <cfRule type="expression" dxfId="660" priority="571">
      <formula>EO114&gt;1</formula>
    </cfRule>
  </conditionalFormatting>
  <conditionalFormatting sqref="EJ117">
    <cfRule type="expression" dxfId="659" priority="570">
      <formula>EO117&gt;1</formula>
    </cfRule>
  </conditionalFormatting>
  <conditionalFormatting sqref="EJ118">
    <cfRule type="expression" dxfId="658" priority="569">
      <formula>EO118&gt;1</formula>
    </cfRule>
  </conditionalFormatting>
  <conditionalFormatting sqref="EJ119">
    <cfRule type="expression" dxfId="657" priority="568">
      <formula>EO119&gt;1</formula>
    </cfRule>
  </conditionalFormatting>
  <conditionalFormatting sqref="EJ121">
    <cfRule type="expression" dxfId="656" priority="567">
      <formula>EO121&gt;1</formula>
    </cfRule>
  </conditionalFormatting>
  <conditionalFormatting sqref="EJ122">
    <cfRule type="expression" dxfId="655" priority="566">
      <formula>EO122&gt;1</formula>
    </cfRule>
  </conditionalFormatting>
  <conditionalFormatting sqref="EL121">
    <cfRule type="expression" dxfId="654" priority="565">
      <formula>EO109&gt;1</formula>
    </cfRule>
  </conditionalFormatting>
  <conditionalFormatting sqref="EL122">
    <cfRule type="expression" dxfId="653" priority="564">
      <formula>EO110&gt;1</formula>
    </cfRule>
  </conditionalFormatting>
  <conditionalFormatting sqref="EJ124">
    <cfRule type="expression" dxfId="652" priority="563">
      <formula>EP124&gt;1</formula>
    </cfRule>
  </conditionalFormatting>
  <conditionalFormatting sqref="EL124">
    <cfRule type="expression" dxfId="651" priority="562">
      <formula>EO107&gt;1</formula>
    </cfRule>
  </conditionalFormatting>
  <conditionalFormatting sqref="EJ126">
    <cfRule type="expression" dxfId="650" priority="561">
      <formula>EP126&gt;1</formula>
    </cfRule>
  </conditionalFormatting>
  <conditionalFormatting sqref="EL126">
    <cfRule type="expression" dxfId="649" priority="560">
      <formula>EO108&gt;1</formula>
    </cfRule>
  </conditionalFormatting>
  <conditionalFormatting sqref="EJ107">
    <cfRule type="expression" dxfId="648" priority="559">
      <formula>$O$90&gt;1</formula>
    </cfRule>
  </conditionalFormatting>
  <conditionalFormatting sqref="EL107">
    <cfRule type="expression" dxfId="647" priority="558">
      <formula>$O$91&gt;1</formula>
    </cfRule>
  </conditionalFormatting>
  <conditionalFormatting sqref="EJ108">
    <cfRule type="expression" dxfId="646" priority="557">
      <formula>$O$92&gt;1</formula>
    </cfRule>
  </conditionalFormatting>
  <conditionalFormatting sqref="EJ109">
    <cfRule type="expression" dxfId="645" priority="556">
      <formula>$O$94&gt;1</formula>
    </cfRule>
  </conditionalFormatting>
  <conditionalFormatting sqref="EJ110">
    <cfRule type="expression" dxfId="644" priority="555">
      <formula>$O$96&gt;1</formula>
    </cfRule>
  </conditionalFormatting>
  <conditionalFormatting sqref="EJ111">
    <cfRule type="expression" dxfId="643" priority="554">
      <formula>$O$98&gt;1</formula>
    </cfRule>
  </conditionalFormatting>
  <conditionalFormatting sqref="EJ112">
    <cfRule type="expression" dxfId="642" priority="553">
      <formula>$O$100&gt;1</formula>
    </cfRule>
  </conditionalFormatting>
  <conditionalFormatting sqref="EJ113">
    <cfRule type="expression" dxfId="641" priority="552">
      <formula>$O$102&gt;1</formula>
    </cfRule>
  </conditionalFormatting>
  <conditionalFormatting sqref="EJ114">
    <cfRule type="expression" dxfId="640" priority="551">
      <formula>$O$104&gt;1</formula>
    </cfRule>
  </conditionalFormatting>
  <conditionalFormatting sqref="EL108">
    <cfRule type="expression" dxfId="639" priority="550">
      <formula>$O$93&gt;1</formula>
    </cfRule>
  </conditionalFormatting>
  <conditionalFormatting sqref="EL109">
    <cfRule type="expression" dxfId="638" priority="549">
      <formula>$O$95&gt;1</formula>
    </cfRule>
  </conditionalFormatting>
  <conditionalFormatting sqref="EL110">
    <cfRule type="expression" dxfId="637" priority="548">
      <formula>$O$97&gt;1</formula>
    </cfRule>
  </conditionalFormatting>
  <conditionalFormatting sqref="EL111">
    <cfRule type="expression" dxfId="636" priority="547">
      <formula>$O$99&gt;1</formula>
    </cfRule>
  </conditionalFormatting>
  <conditionalFormatting sqref="EL112">
    <cfRule type="expression" dxfId="635" priority="546">
      <formula>$O$101&gt;1</formula>
    </cfRule>
  </conditionalFormatting>
  <conditionalFormatting sqref="EL113">
    <cfRule type="expression" dxfId="634" priority="545">
      <formula>$O$103&gt;1</formula>
    </cfRule>
  </conditionalFormatting>
  <conditionalFormatting sqref="EL114">
    <cfRule type="expression" dxfId="633" priority="544">
      <formula>$O$105&gt;1</formula>
    </cfRule>
  </conditionalFormatting>
  <conditionalFormatting sqref="EW116">
    <cfRule type="expression" dxfId="632" priority="539">
      <formula>FB116&gt;1</formula>
    </cfRule>
  </conditionalFormatting>
  <conditionalFormatting sqref="EY116">
    <cfRule type="expression" dxfId="631" priority="538">
      <formula>FB111&gt;1</formula>
    </cfRule>
  </conditionalFormatting>
  <conditionalFormatting sqref="EY117">
    <cfRule type="expression" dxfId="630" priority="537">
      <formula>FB112&gt;1</formula>
    </cfRule>
  </conditionalFormatting>
  <conditionalFormatting sqref="EY118">
    <cfRule type="expression" dxfId="629" priority="536">
      <formula>FB113&gt;1</formula>
    </cfRule>
  </conditionalFormatting>
  <conditionalFormatting sqref="EY119">
    <cfRule type="expression" dxfId="628" priority="535">
      <formula>FB114&gt;1</formula>
    </cfRule>
  </conditionalFormatting>
  <conditionalFormatting sqref="EW117">
    <cfRule type="expression" dxfId="627" priority="534">
      <formula>FB117&gt;1</formula>
    </cfRule>
  </conditionalFormatting>
  <conditionalFormatting sqref="EW118">
    <cfRule type="expression" dxfId="626" priority="533">
      <formula>FB118&gt;1</formula>
    </cfRule>
  </conditionalFormatting>
  <conditionalFormatting sqref="EW119">
    <cfRule type="expression" dxfId="625" priority="532">
      <formula>FB119&gt;1</formula>
    </cfRule>
  </conditionalFormatting>
  <conditionalFormatting sqref="EW121">
    <cfRule type="expression" dxfId="624" priority="531">
      <formula>FB121&gt;1</formula>
    </cfRule>
  </conditionalFormatting>
  <conditionalFormatting sqref="EW122">
    <cfRule type="expression" dxfId="623" priority="530">
      <formula>FB122&gt;1</formula>
    </cfRule>
  </conditionalFormatting>
  <conditionalFormatting sqref="EY121">
    <cfRule type="expression" dxfId="622" priority="529">
      <formula>FB109&gt;1</formula>
    </cfRule>
  </conditionalFormatting>
  <conditionalFormatting sqref="EY122">
    <cfRule type="expression" dxfId="621" priority="528">
      <formula>FB110&gt;1</formula>
    </cfRule>
  </conditionalFormatting>
  <conditionalFormatting sqref="EW124">
    <cfRule type="expression" dxfId="620" priority="527">
      <formula>FC124&gt;1</formula>
    </cfRule>
  </conditionalFormatting>
  <conditionalFormatting sqref="EY124">
    <cfRule type="expression" dxfId="619" priority="526">
      <formula>FB107&gt;1</formula>
    </cfRule>
  </conditionalFormatting>
  <conditionalFormatting sqref="EW126">
    <cfRule type="expression" dxfId="618" priority="525">
      <formula>FC126&gt;1</formula>
    </cfRule>
  </conditionalFormatting>
  <conditionalFormatting sqref="EY126">
    <cfRule type="expression" dxfId="617" priority="524">
      <formula>FB108&gt;1</formula>
    </cfRule>
  </conditionalFormatting>
  <conditionalFormatting sqref="EW107">
    <cfRule type="expression" dxfId="616" priority="523">
      <formula>$O$90&gt;1</formula>
    </cfRule>
  </conditionalFormatting>
  <conditionalFormatting sqref="EY107">
    <cfRule type="expression" dxfId="615" priority="522">
      <formula>$O$91&gt;1</formula>
    </cfRule>
  </conditionalFormatting>
  <conditionalFormatting sqref="EW108">
    <cfRule type="expression" dxfId="614" priority="521">
      <formula>$O$92&gt;1</formula>
    </cfRule>
  </conditionalFormatting>
  <conditionalFormatting sqref="EW109">
    <cfRule type="expression" dxfId="613" priority="520">
      <formula>$O$94&gt;1</formula>
    </cfRule>
  </conditionalFormatting>
  <conditionalFormatting sqref="EW110">
    <cfRule type="expression" dxfId="612" priority="519">
      <formula>$O$96&gt;1</formula>
    </cfRule>
  </conditionalFormatting>
  <conditionalFormatting sqref="EW111">
    <cfRule type="expression" dxfId="611" priority="518">
      <formula>$O$98&gt;1</formula>
    </cfRule>
  </conditionalFormatting>
  <conditionalFormatting sqref="EW112">
    <cfRule type="expression" dxfId="610" priority="517">
      <formula>$O$100&gt;1</formula>
    </cfRule>
  </conditionalFormatting>
  <conditionalFormatting sqref="EW113">
    <cfRule type="expression" dxfId="609" priority="516">
      <formula>$O$102&gt;1</formula>
    </cfRule>
  </conditionalFormatting>
  <conditionalFormatting sqref="EW114">
    <cfRule type="expression" dxfId="608" priority="515">
      <formula>$O$104&gt;1</formula>
    </cfRule>
  </conditionalFormatting>
  <conditionalFormatting sqref="EY108">
    <cfRule type="expression" dxfId="607" priority="514">
      <formula>$O$93&gt;1</formula>
    </cfRule>
  </conditionalFormatting>
  <conditionalFormatting sqref="EY109">
    <cfRule type="expression" dxfId="606" priority="513">
      <formula>$O$95&gt;1</formula>
    </cfRule>
  </conditionalFormatting>
  <conditionalFormatting sqref="EY110">
    <cfRule type="expression" dxfId="605" priority="512">
      <formula>$O$97&gt;1</formula>
    </cfRule>
  </conditionalFormatting>
  <conditionalFormatting sqref="EY111">
    <cfRule type="expression" dxfId="604" priority="511">
      <formula>$O$99&gt;1</formula>
    </cfRule>
  </conditionalFormatting>
  <conditionalFormatting sqref="EY112">
    <cfRule type="expression" dxfId="603" priority="510">
      <formula>$O$101&gt;1</formula>
    </cfRule>
  </conditionalFormatting>
  <conditionalFormatting sqref="EY113">
    <cfRule type="expression" dxfId="602" priority="509">
      <formula>$O$103&gt;1</formula>
    </cfRule>
  </conditionalFormatting>
  <conditionalFormatting sqref="EY114">
    <cfRule type="expression" dxfId="601" priority="508">
      <formula>$O$105&gt;1</formula>
    </cfRule>
  </conditionalFormatting>
  <conditionalFormatting sqref="FJ116">
    <cfRule type="expression" dxfId="600" priority="503">
      <formula>FO116&gt;1</formula>
    </cfRule>
  </conditionalFormatting>
  <conditionalFormatting sqref="FL116">
    <cfRule type="expression" dxfId="599" priority="502">
      <formula>FO111&gt;1</formula>
    </cfRule>
  </conditionalFormatting>
  <conditionalFormatting sqref="FL117">
    <cfRule type="expression" dxfId="598" priority="501">
      <formula>FO112&gt;1</formula>
    </cfRule>
  </conditionalFormatting>
  <conditionalFormatting sqref="FL118">
    <cfRule type="expression" dxfId="597" priority="500">
      <formula>FO113&gt;1</formula>
    </cfRule>
  </conditionalFormatting>
  <conditionalFormatting sqref="FL119">
    <cfRule type="expression" dxfId="596" priority="499">
      <formula>FO114&gt;1</formula>
    </cfRule>
  </conditionalFormatting>
  <conditionalFormatting sqref="FJ117">
    <cfRule type="expression" dxfId="595" priority="498">
      <formula>FO117&gt;1</formula>
    </cfRule>
  </conditionalFormatting>
  <conditionalFormatting sqref="FJ118">
    <cfRule type="expression" dxfId="594" priority="497">
      <formula>FO118&gt;1</formula>
    </cfRule>
  </conditionalFormatting>
  <conditionalFormatting sqref="FJ119">
    <cfRule type="expression" dxfId="593" priority="496">
      <formula>FO119&gt;1</formula>
    </cfRule>
  </conditionalFormatting>
  <conditionalFormatting sqref="FJ121">
    <cfRule type="expression" dxfId="592" priority="495">
      <formula>FO121&gt;1</formula>
    </cfRule>
  </conditionalFormatting>
  <conditionalFormatting sqref="FJ122">
    <cfRule type="expression" dxfId="591" priority="494">
      <formula>FO122&gt;1</formula>
    </cfRule>
  </conditionalFormatting>
  <conditionalFormatting sqref="FL121">
    <cfRule type="expression" dxfId="590" priority="493">
      <formula>FO109&gt;1</formula>
    </cfRule>
  </conditionalFormatting>
  <conditionalFormatting sqref="FL122">
    <cfRule type="expression" dxfId="589" priority="492">
      <formula>FO110&gt;1</formula>
    </cfRule>
  </conditionalFormatting>
  <conditionalFormatting sqref="FJ124">
    <cfRule type="expression" dxfId="588" priority="491">
      <formula>FP124&gt;1</formula>
    </cfRule>
  </conditionalFormatting>
  <conditionalFormatting sqref="FL124">
    <cfRule type="expression" dxfId="587" priority="490">
      <formula>FO107&gt;1</formula>
    </cfRule>
  </conditionalFormatting>
  <conditionalFormatting sqref="FJ126">
    <cfRule type="expression" dxfId="586" priority="489">
      <formula>FP126&gt;1</formula>
    </cfRule>
  </conditionalFormatting>
  <conditionalFormatting sqref="FL126">
    <cfRule type="expression" dxfId="585" priority="488">
      <formula>FO108&gt;1</formula>
    </cfRule>
  </conditionalFormatting>
  <conditionalFormatting sqref="FJ107">
    <cfRule type="expression" dxfId="584" priority="487">
      <formula>$O$90&gt;1</formula>
    </cfRule>
  </conditionalFormatting>
  <conditionalFormatting sqref="FL107">
    <cfRule type="expression" dxfId="583" priority="486">
      <formula>$O$91&gt;1</formula>
    </cfRule>
  </conditionalFormatting>
  <conditionalFormatting sqref="FJ108">
    <cfRule type="expression" dxfId="582" priority="485">
      <formula>$O$92&gt;1</formula>
    </cfRule>
  </conditionalFormatting>
  <conditionalFormatting sqref="FJ109">
    <cfRule type="expression" dxfId="581" priority="484">
      <formula>$O$94&gt;1</formula>
    </cfRule>
  </conditionalFormatting>
  <conditionalFormatting sqref="FJ110">
    <cfRule type="expression" dxfId="580" priority="483">
      <formula>$O$96&gt;1</formula>
    </cfRule>
  </conditionalFormatting>
  <conditionalFormatting sqref="FJ111">
    <cfRule type="expression" dxfId="579" priority="482">
      <formula>$O$98&gt;1</formula>
    </cfRule>
  </conditionalFormatting>
  <conditionalFormatting sqref="FJ112">
    <cfRule type="expression" dxfId="578" priority="481">
      <formula>$O$100&gt;1</formula>
    </cfRule>
  </conditionalFormatting>
  <conditionalFormatting sqref="FJ113">
    <cfRule type="expression" dxfId="577" priority="480">
      <formula>$O$102&gt;1</formula>
    </cfRule>
  </conditionalFormatting>
  <conditionalFormatting sqref="FJ114">
    <cfRule type="expression" dxfId="576" priority="479">
      <formula>$O$104&gt;1</formula>
    </cfRule>
  </conditionalFormatting>
  <conditionalFormatting sqref="FL108">
    <cfRule type="expression" dxfId="575" priority="478">
      <formula>$O$93&gt;1</formula>
    </cfRule>
  </conditionalFormatting>
  <conditionalFormatting sqref="FL109">
    <cfRule type="expression" dxfId="574" priority="477">
      <formula>$O$95&gt;1</formula>
    </cfRule>
  </conditionalFormatting>
  <conditionalFormatting sqref="FL110">
    <cfRule type="expression" dxfId="573" priority="476">
      <formula>$O$97&gt;1</formula>
    </cfRule>
  </conditionalFormatting>
  <conditionalFormatting sqref="FL111">
    <cfRule type="expression" dxfId="572" priority="475">
      <formula>$O$99&gt;1</formula>
    </cfRule>
  </conditionalFormatting>
  <conditionalFormatting sqref="FL112">
    <cfRule type="expression" dxfId="571" priority="474">
      <formula>$O$101&gt;1</formula>
    </cfRule>
  </conditionalFormatting>
  <conditionalFormatting sqref="FL113">
    <cfRule type="expression" dxfId="570" priority="473">
      <formula>$O$103&gt;1</formula>
    </cfRule>
  </conditionalFormatting>
  <conditionalFormatting sqref="FL114">
    <cfRule type="expression" dxfId="569" priority="472">
      <formula>$O$105&gt;1</formula>
    </cfRule>
  </conditionalFormatting>
  <conditionalFormatting sqref="FW116">
    <cfRule type="expression" dxfId="568" priority="467">
      <formula>GB116&gt;1</formula>
    </cfRule>
  </conditionalFormatting>
  <conditionalFormatting sqref="FY116">
    <cfRule type="expression" dxfId="567" priority="466">
      <formula>GB111&gt;1</formula>
    </cfRule>
  </conditionalFormatting>
  <conditionalFormatting sqref="FY117">
    <cfRule type="expression" dxfId="566" priority="465">
      <formula>GB112&gt;1</formula>
    </cfRule>
  </conditionalFormatting>
  <conditionalFormatting sqref="FY118">
    <cfRule type="expression" dxfId="565" priority="464">
      <formula>GB113&gt;1</formula>
    </cfRule>
  </conditionalFormatting>
  <conditionalFormatting sqref="FY119">
    <cfRule type="expression" dxfId="564" priority="463">
      <formula>GB114&gt;1</formula>
    </cfRule>
  </conditionalFormatting>
  <conditionalFormatting sqref="FW117">
    <cfRule type="expression" dxfId="563" priority="462">
      <formula>GB117&gt;1</formula>
    </cfRule>
  </conditionalFormatting>
  <conditionalFormatting sqref="FW118">
    <cfRule type="expression" dxfId="562" priority="461">
      <formula>GB118&gt;1</formula>
    </cfRule>
  </conditionalFormatting>
  <conditionalFormatting sqref="FW119">
    <cfRule type="expression" dxfId="561" priority="460">
      <formula>GB119&gt;1</formula>
    </cfRule>
  </conditionalFormatting>
  <conditionalFormatting sqref="FW121">
    <cfRule type="expression" dxfId="560" priority="459">
      <formula>GB121&gt;1</formula>
    </cfRule>
  </conditionalFormatting>
  <conditionalFormatting sqref="FW122">
    <cfRule type="expression" dxfId="559" priority="458">
      <formula>GB122&gt;1</formula>
    </cfRule>
  </conditionalFormatting>
  <conditionalFormatting sqref="FY121">
    <cfRule type="expression" dxfId="558" priority="457">
      <formula>GB109&gt;1</formula>
    </cfRule>
  </conditionalFormatting>
  <conditionalFormatting sqref="FY122">
    <cfRule type="expression" dxfId="557" priority="456">
      <formula>GB110&gt;1</formula>
    </cfRule>
  </conditionalFormatting>
  <conditionalFormatting sqref="FW124">
    <cfRule type="expression" dxfId="556" priority="455">
      <formula>GC124&gt;1</formula>
    </cfRule>
  </conditionalFormatting>
  <conditionalFormatting sqref="FY124">
    <cfRule type="expression" dxfId="555" priority="454">
      <formula>GB107&gt;1</formula>
    </cfRule>
  </conditionalFormatting>
  <conditionalFormatting sqref="FW126">
    <cfRule type="expression" dxfId="554" priority="453">
      <formula>GC126&gt;1</formula>
    </cfRule>
  </conditionalFormatting>
  <conditionalFormatting sqref="FY126">
    <cfRule type="expression" dxfId="553" priority="452">
      <formula>GB108&gt;1</formula>
    </cfRule>
  </conditionalFormatting>
  <conditionalFormatting sqref="FW107">
    <cfRule type="expression" dxfId="552" priority="451">
      <formula>$O$90&gt;1</formula>
    </cfRule>
  </conditionalFormatting>
  <conditionalFormatting sqref="FY107">
    <cfRule type="expression" dxfId="551" priority="450">
      <formula>$O$91&gt;1</formula>
    </cfRule>
  </conditionalFormatting>
  <conditionalFormatting sqref="FW108">
    <cfRule type="expression" dxfId="550" priority="449">
      <formula>$O$92&gt;1</formula>
    </cfRule>
  </conditionalFormatting>
  <conditionalFormatting sqref="FW109">
    <cfRule type="expression" dxfId="549" priority="448">
      <formula>$O$94&gt;1</formula>
    </cfRule>
  </conditionalFormatting>
  <conditionalFormatting sqref="FW110">
    <cfRule type="expression" dxfId="548" priority="447">
      <formula>$O$96&gt;1</formula>
    </cfRule>
  </conditionalFormatting>
  <conditionalFormatting sqref="FW111">
    <cfRule type="expression" dxfId="547" priority="446">
      <formula>$O$98&gt;1</formula>
    </cfRule>
  </conditionalFormatting>
  <conditionalFormatting sqref="FW112">
    <cfRule type="expression" dxfId="546" priority="445">
      <formula>$O$100&gt;1</formula>
    </cfRule>
  </conditionalFormatting>
  <conditionalFormatting sqref="FW113">
    <cfRule type="expression" dxfId="545" priority="444">
      <formula>$O$102&gt;1</formula>
    </cfRule>
  </conditionalFormatting>
  <conditionalFormatting sqref="FW114">
    <cfRule type="expression" dxfId="544" priority="443">
      <formula>$O$104&gt;1</formula>
    </cfRule>
  </conditionalFormatting>
  <conditionalFormatting sqref="FY108">
    <cfRule type="expression" dxfId="543" priority="442">
      <formula>$O$93&gt;1</formula>
    </cfRule>
  </conditionalFormatting>
  <conditionalFormatting sqref="FY109">
    <cfRule type="expression" dxfId="542" priority="441">
      <formula>$O$95&gt;1</formula>
    </cfRule>
  </conditionalFormatting>
  <conditionalFormatting sqref="FY110">
    <cfRule type="expression" dxfId="541" priority="440">
      <formula>$O$97&gt;1</formula>
    </cfRule>
  </conditionalFormatting>
  <conditionalFormatting sqref="FY111">
    <cfRule type="expression" dxfId="540" priority="439">
      <formula>$O$99&gt;1</formula>
    </cfRule>
  </conditionalFormatting>
  <conditionalFormatting sqref="FY112">
    <cfRule type="expression" dxfId="539" priority="438">
      <formula>$O$101&gt;1</formula>
    </cfRule>
  </conditionalFormatting>
  <conditionalFormatting sqref="FY113">
    <cfRule type="expression" dxfId="538" priority="437">
      <formula>$O$103&gt;1</formula>
    </cfRule>
  </conditionalFormatting>
  <conditionalFormatting sqref="FY114">
    <cfRule type="expression" dxfId="537" priority="436">
      <formula>$O$105&gt;1</formula>
    </cfRule>
  </conditionalFormatting>
  <conditionalFormatting sqref="GJ116">
    <cfRule type="expression" dxfId="536" priority="431">
      <formula>GO116&gt;1</formula>
    </cfRule>
  </conditionalFormatting>
  <conditionalFormatting sqref="GL116">
    <cfRule type="expression" dxfId="535" priority="430">
      <formula>GO111&gt;1</formula>
    </cfRule>
  </conditionalFormatting>
  <conditionalFormatting sqref="GL117">
    <cfRule type="expression" dxfId="534" priority="429">
      <formula>GO112&gt;1</formula>
    </cfRule>
  </conditionalFormatting>
  <conditionalFormatting sqref="GL118">
    <cfRule type="expression" dxfId="533" priority="428">
      <formula>GO113&gt;1</formula>
    </cfRule>
  </conditionalFormatting>
  <conditionalFormatting sqref="GL119">
    <cfRule type="expression" dxfId="532" priority="427">
      <formula>GO114&gt;1</formula>
    </cfRule>
  </conditionalFormatting>
  <conditionalFormatting sqref="GJ117">
    <cfRule type="expression" dxfId="531" priority="426">
      <formula>GO117&gt;1</formula>
    </cfRule>
  </conditionalFormatting>
  <conditionalFormatting sqref="GJ118">
    <cfRule type="expression" dxfId="530" priority="425">
      <formula>GO118&gt;1</formula>
    </cfRule>
  </conditionalFormatting>
  <conditionalFormatting sqref="GJ119">
    <cfRule type="expression" dxfId="529" priority="424">
      <formula>GO119&gt;1</formula>
    </cfRule>
  </conditionalFormatting>
  <conditionalFormatting sqref="GJ121">
    <cfRule type="expression" dxfId="528" priority="423">
      <formula>GO121&gt;1</formula>
    </cfRule>
  </conditionalFormatting>
  <conditionalFormatting sqref="GJ122">
    <cfRule type="expression" dxfId="527" priority="422">
      <formula>GO122&gt;1</formula>
    </cfRule>
  </conditionalFormatting>
  <conditionalFormatting sqref="GL121">
    <cfRule type="expression" dxfId="526" priority="421">
      <formula>GO109&gt;1</formula>
    </cfRule>
  </conditionalFormatting>
  <conditionalFormatting sqref="GL122">
    <cfRule type="expression" dxfId="525" priority="420">
      <formula>GO110&gt;1</formula>
    </cfRule>
  </conditionalFormatting>
  <conditionalFormatting sqref="GJ124">
    <cfRule type="expression" dxfId="524" priority="419">
      <formula>GP124&gt;1</formula>
    </cfRule>
  </conditionalFormatting>
  <conditionalFormatting sqref="GL124">
    <cfRule type="expression" dxfId="523" priority="418">
      <formula>GO107&gt;1</formula>
    </cfRule>
  </conditionalFormatting>
  <conditionalFormatting sqref="GJ126">
    <cfRule type="expression" dxfId="522" priority="417">
      <formula>GP126&gt;1</formula>
    </cfRule>
  </conditionalFormatting>
  <conditionalFormatting sqref="GL126">
    <cfRule type="expression" dxfId="521" priority="416">
      <formula>GO108&gt;1</formula>
    </cfRule>
  </conditionalFormatting>
  <conditionalFormatting sqref="GJ107">
    <cfRule type="expression" dxfId="520" priority="415">
      <formula>$O$90&gt;1</formula>
    </cfRule>
  </conditionalFormatting>
  <conditionalFormatting sqref="GL107">
    <cfRule type="expression" dxfId="519" priority="414">
      <formula>$O$91&gt;1</formula>
    </cfRule>
  </conditionalFormatting>
  <conditionalFormatting sqref="GJ108">
    <cfRule type="expression" dxfId="518" priority="413">
      <formula>$O$92&gt;1</formula>
    </cfRule>
  </conditionalFormatting>
  <conditionalFormatting sqref="GJ109">
    <cfRule type="expression" dxfId="517" priority="412">
      <formula>$O$94&gt;1</formula>
    </cfRule>
  </conditionalFormatting>
  <conditionalFormatting sqref="GJ110">
    <cfRule type="expression" dxfId="516" priority="411">
      <formula>$O$96&gt;1</formula>
    </cfRule>
  </conditionalFormatting>
  <conditionalFormatting sqref="GJ111">
    <cfRule type="expression" dxfId="515" priority="410">
      <formula>$O$98&gt;1</formula>
    </cfRule>
  </conditionalFormatting>
  <conditionalFormatting sqref="GJ112">
    <cfRule type="expression" dxfId="514" priority="409">
      <formula>$O$100&gt;1</formula>
    </cfRule>
  </conditionalFormatting>
  <conditionalFormatting sqref="GJ113">
    <cfRule type="expression" dxfId="513" priority="408">
      <formula>$O$102&gt;1</formula>
    </cfRule>
  </conditionalFormatting>
  <conditionalFormatting sqref="GJ114">
    <cfRule type="expression" dxfId="512" priority="407">
      <formula>$O$104&gt;1</formula>
    </cfRule>
  </conditionalFormatting>
  <conditionalFormatting sqref="GL108">
    <cfRule type="expression" dxfId="511" priority="406">
      <formula>$O$93&gt;1</formula>
    </cfRule>
  </conditionalFormatting>
  <conditionalFormatting sqref="GL109">
    <cfRule type="expression" dxfId="510" priority="405">
      <formula>$O$95&gt;1</formula>
    </cfRule>
  </conditionalFormatting>
  <conditionalFormatting sqref="GL110">
    <cfRule type="expression" dxfId="509" priority="404">
      <formula>$O$97&gt;1</formula>
    </cfRule>
  </conditionalFormatting>
  <conditionalFormatting sqref="GL111">
    <cfRule type="expression" dxfId="508" priority="403">
      <formula>$O$99&gt;1</formula>
    </cfRule>
  </conditionalFormatting>
  <conditionalFormatting sqref="GL112">
    <cfRule type="expression" dxfId="507" priority="402">
      <formula>$O$101&gt;1</formula>
    </cfRule>
  </conditionalFormatting>
  <conditionalFormatting sqref="GL113">
    <cfRule type="expression" dxfId="506" priority="401">
      <formula>$O$103&gt;1</formula>
    </cfRule>
  </conditionalFormatting>
  <conditionalFormatting sqref="GL114">
    <cfRule type="expression" dxfId="505" priority="400">
      <formula>$O$105&gt;1</formula>
    </cfRule>
  </conditionalFormatting>
  <conditionalFormatting sqref="GW116">
    <cfRule type="expression" dxfId="504" priority="395">
      <formula>HB116&gt;1</formula>
    </cfRule>
  </conditionalFormatting>
  <conditionalFormatting sqref="GY116">
    <cfRule type="expression" dxfId="503" priority="394">
      <formula>HB111&gt;1</formula>
    </cfRule>
  </conditionalFormatting>
  <conditionalFormatting sqref="GY117">
    <cfRule type="expression" dxfId="502" priority="393">
      <formula>HB112&gt;1</formula>
    </cfRule>
  </conditionalFormatting>
  <conditionalFormatting sqref="GY118">
    <cfRule type="expression" dxfId="501" priority="392">
      <formula>HB113&gt;1</formula>
    </cfRule>
  </conditionalFormatting>
  <conditionalFormatting sqref="GY119">
    <cfRule type="expression" dxfId="500" priority="391">
      <formula>HB114&gt;1</formula>
    </cfRule>
  </conditionalFormatting>
  <conditionalFormatting sqref="GW117">
    <cfRule type="expression" dxfId="499" priority="390">
      <formula>HB117&gt;1</formula>
    </cfRule>
  </conditionalFormatting>
  <conditionalFormatting sqref="GW118">
    <cfRule type="expression" dxfId="498" priority="389">
      <formula>HB118&gt;1</formula>
    </cfRule>
  </conditionalFormatting>
  <conditionalFormatting sqref="GW119">
    <cfRule type="expression" dxfId="497" priority="388">
      <formula>HB119&gt;1</formula>
    </cfRule>
  </conditionalFormatting>
  <conditionalFormatting sqref="GW121">
    <cfRule type="expression" dxfId="496" priority="387">
      <formula>HB121&gt;1</formula>
    </cfRule>
  </conditionalFormatting>
  <conditionalFormatting sqref="GW122">
    <cfRule type="expression" dxfId="495" priority="386">
      <formula>HB122&gt;1</formula>
    </cfRule>
  </conditionalFormatting>
  <conditionalFormatting sqref="GY121">
    <cfRule type="expression" dxfId="494" priority="385">
      <formula>HB109&gt;1</formula>
    </cfRule>
  </conditionalFormatting>
  <conditionalFormatting sqref="GY122">
    <cfRule type="expression" dxfId="493" priority="384">
      <formula>HB110&gt;1</formula>
    </cfRule>
  </conditionalFormatting>
  <conditionalFormatting sqref="GW124">
    <cfRule type="expression" dxfId="492" priority="383">
      <formula>HC124&gt;1</formula>
    </cfRule>
  </conditionalFormatting>
  <conditionalFormatting sqref="GY124">
    <cfRule type="expression" dxfId="491" priority="382">
      <formula>HB107&gt;1</formula>
    </cfRule>
  </conditionalFormatting>
  <conditionalFormatting sqref="GW126">
    <cfRule type="expression" dxfId="490" priority="381">
      <formula>HC126&gt;1</formula>
    </cfRule>
  </conditionalFormatting>
  <conditionalFormatting sqref="GY126">
    <cfRule type="expression" dxfId="489" priority="380">
      <formula>HB108&gt;1</formula>
    </cfRule>
  </conditionalFormatting>
  <conditionalFormatting sqref="GW107">
    <cfRule type="expression" dxfId="488" priority="379">
      <formula>$O$90&gt;1</formula>
    </cfRule>
  </conditionalFormatting>
  <conditionalFormatting sqref="GY107">
    <cfRule type="expression" dxfId="487" priority="378">
      <formula>$O$91&gt;1</formula>
    </cfRule>
  </conditionalFormatting>
  <conditionalFormatting sqref="GW108">
    <cfRule type="expression" dxfId="486" priority="377">
      <formula>$O$92&gt;1</formula>
    </cfRule>
  </conditionalFormatting>
  <conditionalFormatting sqref="GW109">
    <cfRule type="expression" dxfId="485" priority="376">
      <formula>$O$94&gt;1</formula>
    </cfRule>
  </conditionalFormatting>
  <conditionalFormatting sqref="GW110">
    <cfRule type="expression" dxfId="484" priority="375">
      <formula>$O$96&gt;1</formula>
    </cfRule>
  </conditionalFormatting>
  <conditionalFormatting sqref="GW111">
    <cfRule type="expression" dxfId="483" priority="374">
      <formula>$O$98&gt;1</formula>
    </cfRule>
  </conditionalFormatting>
  <conditionalFormatting sqref="GW112">
    <cfRule type="expression" dxfId="482" priority="373">
      <formula>$O$100&gt;1</formula>
    </cfRule>
  </conditionalFormatting>
  <conditionalFormatting sqref="GW113">
    <cfRule type="expression" dxfId="481" priority="372">
      <formula>$O$102&gt;1</formula>
    </cfRule>
  </conditionalFormatting>
  <conditionalFormatting sqref="GW114">
    <cfRule type="expression" dxfId="480" priority="371">
      <formula>$O$104&gt;1</formula>
    </cfRule>
  </conditionalFormatting>
  <conditionalFormatting sqref="GY108">
    <cfRule type="expression" dxfId="479" priority="370">
      <formula>$O$93&gt;1</formula>
    </cfRule>
  </conditionalFormatting>
  <conditionalFormatting sqref="GY109">
    <cfRule type="expression" dxfId="478" priority="369">
      <formula>$O$95&gt;1</formula>
    </cfRule>
  </conditionalFormatting>
  <conditionalFormatting sqref="GY110">
    <cfRule type="expression" dxfId="477" priority="368">
      <formula>$O$97&gt;1</formula>
    </cfRule>
  </conditionalFormatting>
  <conditionalFormatting sqref="GY111">
    <cfRule type="expression" dxfId="476" priority="367">
      <formula>$O$99&gt;1</formula>
    </cfRule>
  </conditionalFormatting>
  <conditionalFormatting sqref="GY112">
    <cfRule type="expression" dxfId="475" priority="366">
      <formula>$O$101&gt;1</formula>
    </cfRule>
  </conditionalFormatting>
  <conditionalFormatting sqref="GY113">
    <cfRule type="expression" dxfId="474" priority="365">
      <formula>$O$103&gt;1</formula>
    </cfRule>
  </conditionalFormatting>
  <conditionalFormatting sqref="GY114">
    <cfRule type="expression" dxfId="473" priority="364">
      <formula>$O$105&gt;1</formula>
    </cfRule>
  </conditionalFormatting>
  <conditionalFormatting sqref="HJ116">
    <cfRule type="expression" dxfId="472" priority="359">
      <formula>HO116&gt;1</formula>
    </cfRule>
  </conditionalFormatting>
  <conditionalFormatting sqref="HL116">
    <cfRule type="expression" dxfId="471" priority="358">
      <formula>HO111&gt;1</formula>
    </cfRule>
  </conditionalFormatting>
  <conditionalFormatting sqref="HL117">
    <cfRule type="expression" dxfId="470" priority="357">
      <formula>HO112&gt;1</formula>
    </cfRule>
  </conditionalFormatting>
  <conditionalFormatting sqref="HL118">
    <cfRule type="expression" dxfId="469" priority="356">
      <formula>HO113&gt;1</formula>
    </cfRule>
  </conditionalFormatting>
  <conditionalFormatting sqref="HL119">
    <cfRule type="expression" dxfId="468" priority="355">
      <formula>HO114&gt;1</formula>
    </cfRule>
  </conditionalFormatting>
  <conditionalFormatting sqref="HJ117">
    <cfRule type="expression" dxfId="467" priority="354">
      <formula>HO117&gt;1</formula>
    </cfRule>
  </conditionalFormatting>
  <conditionalFormatting sqref="HJ118">
    <cfRule type="expression" dxfId="466" priority="353">
      <formula>HO118&gt;1</formula>
    </cfRule>
  </conditionalFormatting>
  <conditionalFormatting sqref="HJ119">
    <cfRule type="expression" dxfId="465" priority="352">
      <formula>HO119&gt;1</formula>
    </cfRule>
  </conditionalFormatting>
  <conditionalFormatting sqref="HJ121">
    <cfRule type="expression" dxfId="464" priority="351">
      <formula>HO121&gt;1</formula>
    </cfRule>
  </conditionalFormatting>
  <conditionalFormatting sqref="HJ122">
    <cfRule type="expression" dxfId="463" priority="350">
      <formula>HO122&gt;1</formula>
    </cfRule>
  </conditionalFormatting>
  <conditionalFormatting sqref="HL121">
    <cfRule type="expression" dxfId="462" priority="349">
      <formula>HO109&gt;1</formula>
    </cfRule>
  </conditionalFormatting>
  <conditionalFormatting sqref="HL122">
    <cfRule type="expression" dxfId="461" priority="348">
      <formula>HO110&gt;1</formula>
    </cfRule>
  </conditionalFormatting>
  <conditionalFormatting sqref="HJ124">
    <cfRule type="expression" dxfId="460" priority="347">
      <formula>HP124&gt;1</formula>
    </cfRule>
  </conditionalFormatting>
  <conditionalFormatting sqref="HL124">
    <cfRule type="expression" dxfId="459" priority="346">
      <formula>HO107&gt;1</formula>
    </cfRule>
  </conditionalFormatting>
  <conditionalFormatting sqref="HJ126">
    <cfRule type="expression" dxfId="458" priority="345">
      <formula>HP126&gt;1</formula>
    </cfRule>
  </conditionalFormatting>
  <conditionalFormatting sqref="HL126">
    <cfRule type="expression" dxfId="457" priority="344">
      <formula>HO108&gt;1</formula>
    </cfRule>
  </conditionalFormatting>
  <conditionalFormatting sqref="HJ107">
    <cfRule type="expression" dxfId="456" priority="343">
      <formula>$O$90&gt;1</formula>
    </cfRule>
  </conditionalFormatting>
  <conditionalFormatting sqref="HL107">
    <cfRule type="expression" dxfId="455" priority="342">
      <formula>$O$91&gt;1</formula>
    </cfRule>
  </conditionalFormatting>
  <conditionalFormatting sqref="HJ108">
    <cfRule type="expression" dxfId="454" priority="341">
      <formula>$O$92&gt;1</formula>
    </cfRule>
  </conditionalFormatting>
  <conditionalFormatting sqref="HJ109">
    <cfRule type="expression" dxfId="453" priority="340">
      <formula>$O$94&gt;1</formula>
    </cfRule>
  </conditionalFormatting>
  <conditionalFormatting sqref="HJ110">
    <cfRule type="expression" dxfId="452" priority="339">
      <formula>$O$96&gt;1</formula>
    </cfRule>
  </conditionalFormatting>
  <conditionalFormatting sqref="HJ111">
    <cfRule type="expression" dxfId="451" priority="338">
      <formula>$O$98&gt;1</formula>
    </cfRule>
  </conditionalFormatting>
  <conditionalFormatting sqref="HJ112">
    <cfRule type="expression" dxfId="450" priority="337">
      <formula>$O$100&gt;1</formula>
    </cfRule>
  </conditionalFormatting>
  <conditionalFormatting sqref="HJ113">
    <cfRule type="expression" dxfId="449" priority="336">
      <formula>$O$102&gt;1</formula>
    </cfRule>
  </conditionalFormatting>
  <conditionalFormatting sqref="HJ114">
    <cfRule type="expression" dxfId="448" priority="335">
      <formula>$O$104&gt;1</formula>
    </cfRule>
  </conditionalFormatting>
  <conditionalFormatting sqref="HL108">
    <cfRule type="expression" dxfId="447" priority="334">
      <formula>$O$93&gt;1</formula>
    </cfRule>
  </conditionalFormatting>
  <conditionalFormatting sqref="HL109">
    <cfRule type="expression" dxfId="446" priority="333">
      <formula>$O$95&gt;1</formula>
    </cfRule>
  </conditionalFormatting>
  <conditionalFormatting sqref="HL110">
    <cfRule type="expression" dxfId="445" priority="332">
      <formula>$O$97&gt;1</formula>
    </cfRule>
  </conditionalFormatting>
  <conditionalFormatting sqref="HL111">
    <cfRule type="expression" dxfId="444" priority="331">
      <formula>$O$99&gt;1</formula>
    </cfRule>
  </conditionalFormatting>
  <conditionalFormatting sqref="HL112">
    <cfRule type="expression" dxfId="443" priority="330">
      <formula>$O$101&gt;1</formula>
    </cfRule>
  </conditionalFormatting>
  <conditionalFormatting sqref="HL113">
    <cfRule type="expression" dxfId="442" priority="329">
      <formula>$O$103&gt;1</formula>
    </cfRule>
  </conditionalFormatting>
  <conditionalFormatting sqref="HL114">
    <cfRule type="expression" dxfId="441" priority="328">
      <formula>$O$105&gt;1</formula>
    </cfRule>
  </conditionalFormatting>
  <conditionalFormatting sqref="HW116">
    <cfRule type="expression" dxfId="440" priority="323">
      <formula>IB116&gt;1</formula>
    </cfRule>
  </conditionalFormatting>
  <conditionalFormatting sqref="HY116">
    <cfRule type="expression" dxfId="439" priority="322">
      <formula>IB111&gt;1</formula>
    </cfRule>
  </conditionalFormatting>
  <conditionalFormatting sqref="HY117">
    <cfRule type="expression" dxfId="438" priority="321">
      <formula>IB112&gt;1</formula>
    </cfRule>
  </conditionalFormatting>
  <conditionalFormatting sqref="HY118">
    <cfRule type="expression" dxfId="437" priority="320">
      <formula>IB113&gt;1</formula>
    </cfRule>
  </conditionalFormatting>
  <conditionalFormatting sqref="HY119">
    <cfRule type="expression" dxfId="436" priority="319">
      <formula>IB114&gt;1</formula>
    </cfRule>
  </conditionalFormatting>
  <conditionalFormatting sqref="HW117">
    <cfRule type="expression" dxfId="435" priority="318">
      <formula>IB117&gt;1</formula>
    </cfRule>
  </conditionalFormatting>
  <conditionalFormatting sqref="HW118">
    <cfRule type="expression" dxfId="434" priority="317">
      <formula>IB118&gt;1</formula>
    </cfRule>
  </conditionalFormatting>
  <conditionalFormatting sqref="HW119">
    <cfRule type="expression" dxfId="433" priority="316">
      <formula>IB119&gt;1</formula>
    </cfRule>
  </conditionalFormatting>
  <conditionalFormatting sqref="HW121">
    <cfRule type="expression" dxfId="432" priority="315">
      <formula>IB121&gt;1</formula>
    </cfRule>
  </conditionalFormatting>
  <conditionalFormatting sqref="HW122">
    <cfRule type="expression" dxfId="431" priority="314">
      <formula>IB122&gt;1</formula>
    </cfRule>
  </conditionalFormatting>
  <conditionalFormatting sqref="HY121">
    <cfRule type="expression" dxfId="430" priority="313">
      <formula>IB109&gt;1</formula>
    </cfRule>
  </conditionalFormatting>
  <conditionalFormatting sqref="HY122">
    <cfRule type="expression" dxfId="429" priority="312">
      <formula>IB110&gt;1</formula>
    </cfRule>
  </conditionalFormatting>
  <conditionalFormatting sqref="HW124">
    <cfRule type="expression" dxfId="428" priority="311">
      <formula>IC124&gt;1</formula>
    </cfRule>
  </conditionalFormatting>
  <conditionalFormatting sqref="HY124">
    <cfRule type="expression" dxfId="427" priority="310">
      <formula>IB107&gt;1</formula>
    </cfRule>
  </conditionalFormatting>
  <conditionalFormatting sqref="HW126">
    <cfRule type="expression" dxfId="426" priority="309">
      <formula>IC126&gt;1</formula>
    </cfRule>
  </conditionalFormatting>
  <conditionalFormatting sqref="HY126">
    <cfRule type="expression" dxfId="425" priority="308">
      <formula>IB108&gt;1</formula>
    </cfRule>
  </conditionalFormatting>
  <conditionalFormatting sqref="HW107">
    <cfRule type="expression" dxfId="424" priority="307">
      <formula>$O$90&gt;1</formula>
    </cfRule>
  </conditionalFormatting>
  <conditionalFormatting sqref="HY107">
    <cfRule type="expression" dxfId="423" priority="306">
      <formula>$O$91&gt;1</formula>
    </cfRule>
  </conditionalFormatting>
  <conditionalFormatting sqref="HW108">
    <cfRule type="expression" dxfId="422" priority="305">
      <formula>$O$92&gt;1</formula>
    </cfRule>
  </conditionalFormatting>
  <conditionalFormatting sqref="HW109">
    <cfRule type="expression" dxfId="421" priority="304">
      <formula>$O$94&gt;1</formula>
    </cfRule>
  </conditionalFormatting>
  <conditionalFormatting sqref="HW110">
    <cfRule type="expression" dxfId="420" priority="303">
      <formula>$O$96&gt;1</formula>
    </cfRule>
  </conditionalFormatting>
  <conditionalFormatting sqref="HW111">
    <cfRule type="expression" dxfId="419" priority="302">
      <formula>$O$98&gt;1</formula>
    </cfRule>
  </conditionalFormatting>
  <conditionalFormatting sqref="HW112">
    <cfRule type="expression" dxfId="418" priority="301">
      <formula>$O$100&gt;1</formula>
    </cfRule>
  </conditionalFormatting>
  <conditionalFormatting sqref="HW113">
    <cfRule type="expression" dxfId="417" priority="300">
      <formula>$O$102&gt;1</formula>
    </cfRule>
  </conditionalFormatting>
  <conditionalFormatting sqref="HW114">
    <cfRule type="expression" dxfId="416" priority="299">
      <formula>$O$104&gt;1</formula>
    </cfRule>
  </conditionalFormatting>
  <conditionalFormatting sqref="HY108">
    <cfRule type="expression" dxfId="415" priority="298">
      <formula>$O$93&gt;1</formula>
    </cfRule>
  </conditionalFormatting>
  <conditionalFormatting sqref="HY109">
    <cfRule type="expression" dxfId="414" priority="297">
      <formula>$O$95&gt;1</formula>
    </cfRule>
  </conditionalFormatting>
  <conditionalFormatting sqref="HY110">
    <cfRule type="expression" dxfId="413" priority="296">
      <formula>$O$97&gt;1</formula>
    </cfRule>
  </conditionalFormatting>
  <conditionalFormatting sqref="HY111">
    <cfRule type="expression" dxfId="412" priority="295">
      <formula>$O$99&gt;1</formula>
    </cfRule>
  </conditionalFormatting>
  <conditionalFormatting sqref="HY112">
    <cfRule type="expression" dxfId="411" priority="294">
      <formula>$O$101&gt;1</formula>
    </cfRule>
  </conditionalFormatting>
  <conditionalFormatting sqref="HY113">
    <cfRule type="expression" dxfId="410" priority="293">
      <formula>$O$103&gt;1</formula>
    </cfRule>
  </conditionalFormatting>
  <conditionalFormatting sqref="HY114">
    <cfRule type="expression" dxfId="409" priority="292">
      <formula>$O$105&gt;1</formula>
    </cfRule>
  </conditionalFormatting>
  <conditionalFormatting sqref="IJ116">
    <cfRule type="expression" dxfId="408" priority="287">
      <formula>IO116&gt;1</formula>
    </cfRule>
  </conditionalFormatting>
  <conditionalFormatting sqref="IL116">
    <cfRule type="expression" dxfId="407" priority="286">
      <formula>IO111&gt;1</formula>
    </cfRule>
  </conditionalFormatting>
  <conditionalFormatting sqref="IL117">
    <cfRule type="expression" dxfId="406" priority="285">
      <formula>IO112&gt;1</formula>
    </cfRule>
  </conditionalFormatting>
  <conditionalFormatting sqref="IL118">
    <cfRule type="expression" dxfId="405" priority="284">
      <formula>IO113&gt;1</formula>
    </cfRule>
  </conditionalFormatting>
  <conditionalFormatting sqref="IL119">
    <cfRule type="expression" dxfId="404" priority="283">
      <formula>IO114&gt;1</formula>
    </cfRule>
  </conditionalFormatting>
  <conditionalFormatting sqref="IJ117">
    <cfRule type="expression" dxfId="403" priority="282">
      <formula>IO117&gt;1</formula>
    </cfRule>
  </conditionalFormatting>
  <conditionalFormatting sqref="IJ118">
    <cfRule type="expression" dxfId="402" priority="281">
      <formula>IO118&gt;1</formula>
    </cfRule>
  </conditionalFormatting>
  <conditionalFormatting sqref="IJ119">
    <cfRule type="expression" dxfId="401" priority="280">
      <formula>IO119&gt;1</formula>
    </cfRule>
  </conditionalFormatting>
  <conditionalFormatting sqref="IJ121">
    <cfRule type="expression" dxfId="400" priority="279">
      <formula>IO121&gt;1</formula>
    </cfRule>
  </conditionalFormatting>
  <conditionalFormatting sqref="IJ122">
    <cfRule type="expression" dxfId="399" priority="278">
      <formula>IO122&gt;1</formula>
    </cfRule>
  </conditionalFormatting>
  <conditionalFormatting sqref="IL121">
    <cfRule type="expression" dxfId="398" priority="277">
      <formula>IO109&gt;1</formula>
    </cfRule>
  </conditionalFormatting>
  <conditionalFormatting sqref="IL122">
    <cfRule type="expression" dxfId="397" priority="276">
      <formula>IO110&gt;1</formula>
    </cfRule>
  </conditionalFormatting>
  <conditionalFormatting sqref="IJ124">
    <cfRule type="expression" dxfId="396" priority="275">
      <formula>IP124&gt;1</formula>
    </cfRule>
  </conditionalFormatting>
  <conditionalFormatting sqref="IL124">
    <cfRule type="expression" dxfId="395" priority="274">
      <formula>IO107&gt;1</formula>
    </cfRule>
  </conditionalFormatting>
  <conditionalFormatting sqref="IJ126">
    <cfRule type="expression" dxfId="394" priority="273">
      <formula>IP126&gt;1</formula>
    </cfRule>
  </conditionalFormatting>
  <conditionalFormatting sqref="IL126">
    <cfRule type="expression" dxfId="393" priority="272">
      <formula>IO108&gt;1</formula>
    </cfRule>
  </conditionalFormatting>
  <conditionalFormatting sqref="IJ107">
    <cfRule type="expression" dxfId="392" priority="271">
      <formula>$O$90&gt;1</formula>
    </cfRule>
  </conditionalFormatting>
  <conditionalFormatting sqref="IL107">
    <cfRule type="expression" dxfId="391" priority="270">
      <formula>$O$91&gt;1</formula>
    </cfRule>
  </conditionalFormatting>
  <conditionalFormatting sqref="IJ108">
    <cfRule type="expression" dxfId="390" priority="269">
      <formula>$O$92&gt;1</formula>
    </cfRule>
  </conditionalFormatting>
  <conditionalFormatting sqref="IJ109">
    <cfRule type="expression" dxfId="389" priority="268">
      <formula>$O$94&gt;1</formula>
    </cfRule>
  </conditionalFormatting>
  <conditionalFormatting sqref="IJ110">
    <cfRule type="expression" dxfId="388" priority="267">
      <formula>$O$96&gt;1</formula>
    </cfRule>
  </conditionalFormatting>
  <conditionalFormatting sqref="IJ111">
    <cfRule type="expression" dxfId="387" priority="266">
      <formula>$O$98&gt;1</formula>
    </cfRule>
  </conditionalFormatting>
  <conditionalFormatting sqref="IJ112">
    <cfRule type="expression" dxfId="386" priority="265">
      <formula>$O$100&gt;1</formula>
    </cfRule>
  </conditionalFormatting>
  <conditionalFormatting sqref="IJ113">
    <cfRule type="expression" dxfId="385" priority="264">
      <formula>$O$102&gt;1</formula>
    </cfRule>
  </conditionalFormatting>
  <conditionalFormatting sqref="IJ114">
    <cfRule type="expression" dxfId="384" priority="263">
      <formula>$O$104&gt;1</formula>
    </cfRule>
  </conditionalFormatting>
  <conditionalFormatting sqref="IL108">
    <cfRule type="expression" dxfId="383" priority="262">
      <formula>$O$93&gt;1</formula>
    </cfRule>
  </conditionalFormatting>
  <conditionalFormatting sqref="IL109">
    <cfRule type="expression" dxfId="382" priority="261">
      <formula>$O$95&gt;1</formula>
    </cfRule>
  </conditionalFormatting>
  <conditionalFormatting sqref="IL110">
    <cfRule type="expression" dxfId="381" priority="260">
      <formula>$O$97&gt;1</formula>
    </cfRule>
  </conditionalFormatting>
  <conditionalFormatting sqref="IL111">
    <cfRule type="expression" dxfId="380" priority="259">
      <formula>$O$99&gt;1</formula>
    </cfRule>
  </conditionalFormatting>
  <conditionalFormatting sqref="IL112">
    <cfRule type="expression" dxfId="379" priority="258">
      <formula>$O$101&gt;1</formula>
    </cfRule>
  </conditionalFormatting>
  <conditionalFormatting sqref="IL113">
    <cfRule type="expression" dxfId="378" priority="257">
      <formula>$O$103&gt;1</formula>
    </cfRule>
  </conditionalFormatting>
  <conditionalFormatting sqref="IL114">
    <cfRule type="expression" dxfId="377" priority="256">
      <formula>$O$105&gt;1</formula>
    </cfRule>
  </conditionalFormatting>
  <conditionalFormatting sqref="IW116">
    <cfRule type="expression" dxfId="376" priority="251">
      <formula>JB116&gt;1</formula>
    </cfRule>
  </conditionalFormatting>
  <conditionalFormatting sqref="IY116">
    <cfRule type="expression" dxfId="375" priority="250">
      <formula>JB111&gt;1</formula>
    </cfRule>
  </conditionalFormatting>
  <conditionalFormatting sqref="IY117">
    <cfRule type="expression" dxfId="374" priority="249">
      <formula>JB112&gt;1</formula>
    </cfRule>
  </conditionalFormatting>
  <conditionalFormatting sqref="IY118">
    <cfRule type="expression" dxfId="373" priority="248">
      <formula>JB113&gt;1</formula>
    </cfRule>
  </conditionalFormatting>
  <conditionalFormatting sqref="IY119">
    <cfRule type="expression" dxfId="372" priority="247">
      <formula>JB114&gt;1</formula>
    </cfRule>
  </conditionalFormatting>
  <conditionalFormatting sqref="IW117">
    <cfRule type="expression" dxfId="371" priority="246">
      <formula>JB117&gt;1</formula>
    </cfRule>
  </conditionalFormatting>
  <conditionalFormatting sqref="IW118">
    <cfRule type="expression" dxfId="370" priority="245">
      <formula>JB118&gt;1</formula>
    </cfRule>
  </conditionalFormatting>
  <conditionalFormatting sqref="IW119">
    <cfRule type="expression" dxfId="369" priority="244">
      <formula>JB119&gt;1</formula>
    </cfRule>
  </conditionalFormatting>
  <conditionalFormatting sqref="IW121">
    <cfRule type="expression" dxfId="368" priority="243">
      <formula>JB121&gt;1</formula>
    </cfRule>
  </conditionalFormatting>
  <conditionalFormatting sqref="IW122">
    <cfRule type="expression" dxfId="367" priority="242">
      <formula>JB122&gt;1</formula>
    </cfRule>
  </conditionalFormatting>
  <conditionalFormatting sqref="IY121">
    <cfRule type="expression" dxfId="366" priority="241">
      <formula>JB109&gt;1</formula>
    </cfRule>
  </conditionalFormatting>
  <conditionalFormatting sqref="IY122">
    <cfRule type="expression" dxfId="365" priority="240">
      <formula>JB110&gt;1</formula>
    </cfRule>
  </conditionalFormatting>
  <conditionalFormatting sqref="IW124">
    <cfRule type="expression" dxfId="364" priority="239">
      <formula>JC124&gt;1</formula>
    </cfRule>
  </conditionalFormatting>
  <conditionalFormatting sqref="IY124">
    <cfRule type="expression" dxfId="363" priority="238">
      <formula>JB107&gt;1</formula>
    </cfRule>
  </conditionalFormatting>
  <conditionalFormatting sqref="IW126">
    <cfRule type="expression" dxfId="362" priority="237">
      <formula>JC126&gt;1</formula>
    </cfRule>
  </conditionalFormatting>
  <conditionalFormatting sqref="IY126">
    <cfRule type="expression" dxfId="361" priority="236">
      <formula>JB108&gt;1</formula>
    </cfRule>
  </conditionalFormatting>
  <conditionalFormatting sqref="IW107">
    <cfRule type="expression" dxfId="360" priority="235">
      <formula>$O$90&gt;1</formula>
    </cfRule>
  </conditionalFormatting>
  <conditionalFormatting sqref="IY107">
    <cfRule type="expression" dxfId="359" priority="234">
      <formula>$O$91&gt;1</formula>
    </cfRule>
  </conditionalFormatting>
  <conditionalFormatting sqref="IW108">
    <cfRule type="expression" dxfId="358" priority="233">
      <formula>$O$92&gt;1</formula>
    </cfRule>
  </conditionalFormatting>
  <conditionalFormatting sqref="IW109">
    <cfRule type="expression" dxfId="357" priority="232">
      <formula>$O$94&gt;1</formula>
    </cfRule>
  </conditionalFormatting>
  <conditionalFormatting sqref="IW110">
    <cfRule type="expression" dxfId="356" priority="231">
      <formula>$O$96&gt;1</formula>
    </cfRule>
  </conditionalFormatting>
  <conditionalFormatting sqref="IW111">
    <cfRule type="expression" dxfId="355" priority="230">
      <formula>$O$98&gt;1</formula>
    </cfRule>
  </conditionalFormatting>
  <conditionalFormatting sqref="IW112">
    <cfRule type="expression" dxfId="354" priority="229">
      <formula>$O$100&gt;1</formula>
    </cfRule>
  </conditionalFormatting>
  <conditionalFormatting sqref="IW113">
    <cfRule type="expression" dxfId="353" priority="228">
      <formula>$O$102&gt;1</formula>
    </cfRule>
  </conditionalFormatting>
  <conditionalFormatting sqref="IW114">
    <cfRule type="expression" dxfId="352" priority="227">
      <formula>$O$104&gt;1</formula>
    </cfRule>
  </conditionalFormatting>
  <conditionalFormatting sqref="IY108">
    <cfRule type="expression" dxfId="351" priority="226">
      <formula>$O$93&gt;1</formula>
    </cfRule>
  </conditionalFormatting>
  <conditionalFormatting sqref="IY109">
    <cfRule type="expression" dxfId="350" priority="225">
      <formula>$O$95&gt;1</formula>
    </cfRule>
  </conditionalFormatting>
  <conditionalFormatting sqref="IY110">
    <cfRule type="expression" dxfId="349" priority="224">
      <formula>$O$97&gt;1</formula>
    </cfRule>
  </conditionalFormatting>
  <conditionalFormatting sqref="IY111">
    <cfRule type="expression" dxfId="348" priority="223">
      <formula>$O$99&gt;1</formula>
    </cfRule>
  </conditionalFormatting>
  <conditionalFormatting sqref="IY112">
    <cfRule type="expression" dxfId="347" priority="222">
      <formula>$O$101&gt;1</formula>
    </cfRule>
  </conditionalFormatting>
  <conditionalFormatting sqref="IY113">
    <cfRule type="expression" dxfId="346" priority="221">
      <formula>$O$103&gt;1</formula>
    </cfRule>
  </conditionalFormatting>
  <conditionalFormatting sqref="IY114">
    <cfRule type="expression" dxfId="345" priority="220">
      <formula>$O$105&gt;1</formula>
    </cfRule>
  </conditionalFormatting>
  <conditionalFormatting sqref="JJ116">
    <cfRule type="expression" dxfId="344" priority="215">
      <formula>JO116&gt;1</formula>
    </cfRule>
  </conditionalFormatting>
  <conditionalFormatting sqref="JL116">
    <cfRule type="expression" dxfId="343" priority="214">
      <formula>JO111&gt;1</formula>
    </cfRule>
  </conditionalFormatting>
  <conditionalFormatting sqref="JL117">
    <cfRule type="expression" dxfId="342" priority="213">
      <formula>JO112&gt;1</formula>
    </cfRule>
  </conditionalFormatting>
  <conditionalFormatting sqref="JL118">
    <cfRule type="expression" dxfId="341" priority="212">
      <formula>JO113&gt;1</formula>
    </cfRule>
  </conditionalFormatting>
  <conditionalFormatting sqref="JL119">
    <cfRule type="expression" dxfId="340" priority="211">
      <formula>JO114&gt;1</formula>
    </cfRule>
  </conditionalFormatting>
  <conditionalFormatting sqref="JJ117">
    <cfRule type="expression" dxfId="339" priority="210">
      <formula>JO117&gt;1</formula>
    </cfRule>
  </conditionalFormatting>
  <conditionalFormatting sqref="JJ118">
    <cfRule type="expression" dxfId="338" priority="209">
      <formula>JO118&gt;1</formula>
    </cfRule>
  </conditionalFormatting>
  <conditionalFormatting sqref="JJ119">
    <cfRule type="expression" dxfId="337" priority="208">
      <formula>JO119&gt;1</formula>
    </cfRule>
  </conditionalFormatting>
  <conditionalFormatting sqref="JJ121">
    <cfRule type="expression" dxfId="336" priority="207">
      <formula>JO121&gt;1</formula>
    </cfRule>
  </conditionalFormatting>
  <conditionalFormatting sqref="JJ122">
    <cfRule type="expression" dxfId="335" priority="206">
      <formula>JO122&gt;1</formula>
    </cfRule>
  </conditionalFormatting>
  <conditionalFormatting sqref="JL121">
    <cfRule type="expression" dxfId="334" priority="205">
      <formula>JO109&gt;1</formula>
    </cfRule>
  </conditionalFormatting>
  <conditionalFormatting sqref="JL122">
    <cfRule type="expression" dxfId="333" priority="204">
      <formula>JO110&gt;1</formula>
    </cfRule>
  </conditionalFormatting>
  <conditionalFormatting sqref="JJ124">
    <cfRule type="expression" dxfId="332" priority="203">
      <formula>JP124&gt;1</formula>
    </cfRule>
  </conditionalFormatting>
  <conditionalFormatting sqref="JL124">
    <cfRule type="expression" dxfId="331" priority="202">
      <formula>JO107&gt;1</formula>
    </cfRule>
  </conditionalFormatting>
  <conditionalFormatting sqref="JJ126">
    <cfRule type="expression" dxfId="330" priority="201">
      <formula>JP126&gt;1</formula>
    </cfRule>
  </conditionalFormatting>
  <conditionalFormatting sqref="JL126">
    <cfRule type="expression" dxfId="329" priority="200">
      <formula>JO108&gt;1</formula>
    </cfRule>
  </conditionalFormatting>
  <conditionalFormatting sqref="JJ107">
    <cfRule type="expression" dxfId="328" priority="199">
      <formula>$O$90&gt;1</formula>
    </cfRule>
  </conditionalFormatting>
  <conditionalFormatting sqref="JL107">
    <cfRule type="expression" dxfId="327" priority="198">
      <formula>$O$91&gt;1</formula>
    </cfRule>
  </conditionalFormatting>
  <conditionalFormatting sqref="JJ108">
    <cfRule type="expression" dxfId="326" priority="197">
      <formula>$O$92&gt;1</formula>
    </cfRule>
  </conditionalFormatting>
  <conditionalFormatting sqref="JJ109">
    <cfRule type="expression" dxfId="325" priority="196">
      <formula>$O$94&gt;1</formula>
    </cfRule>
  </conditionalFormatting>
  <conditionalFormatting sqref="JJ110">
    <cfRule type="expression" dxfId="324" priority="195">
      <formula>$O$96&gt;1</formula>
    </cfRule>
  </conditionalFormatting>
  <conditionalFormatting sqref="JJ111">
    <cfRule type="expression" dxfId="323" priority="194">
      <formula>$O$98&gt;1</formula>
    </cfRule>
  </conditionalFormatting>
  <conditionalFormatting sqref="JJ112">
    <cfRule type="expression" dxfId="322" priority="193">
      <formula>$O$100&gt;1</formula>
    </cfRule>
  </conditionalFormatting>
  <conditionalFormatting sqref="JJ113">
    <cfRule type="expression" dxfId="321" priority="192">
      <formula>$O$102&gt;1</formula>
    </cfRule>
  </conditionalFormatting>
  <conditionalFormatting sqref="JJ114">
    <cfRule type="expression" dxfId="320" priority="191">
      <formula>$O$104&gt;1</formula>
    </cfRule>
  </conditionalFormatting>
  <conditionalFormatting sqref="JL108">
    <cfRule type="expression" dxfId="319" priority="190">
      <formula>$O$93&gt;1</formula>
    </cfRule>
  </conditionalFormatting>
  <conditionalFormatting sqref="JL109">
    <cfRule type="expression" dxfId="318" priority="189">
      <formula>$O$95&gt;1</formula>
    </cfRule>
  </conditionalFormatting>
  <conditionalFormatting sqref="JL110">
    <cfRule type="expression" dxfId="317" priority="188">
      <formula>$O$97&gt;1</formula>
    </cfRule>
  </conditionalFormatting>
  <conditionalFormatting sqref="JL111">
    <cfRule type="expression" dxfId="316" priority="187">
      <formula>$O$99&gt;1</formula>
    </cfRule>
  </conditionalFormatting>
  <conditionalFormatting sqref="JL112">
    <cfRule type="expression" dxfId="315" priority="186">
      <formula>$O$101&gt;1</formula>
    </cfRule>
  </conditionalFormatting>
  <conditionalFormatting sqref="JL113">
    <cfRule type="expression" dxfId="314" priority="185">
      <formula>$O$103&gt;1</formula>
    </cfRule>
  </conditionalFormatting>
  <conditionalFormatting sqref="JL114">
    <cfRule type="expression" dxfId="313" priority="184">
      <formula>$O$105&gt;1</formula>
    </cfRule>
  </conditionalFormatting>
  <conditionalFormatting sqref="JW116">
    <cfRule type="expression" dxfId="312" priority="179">
      <formula>KB116&gt;1</formula>
    </cfRule>
  </conditionalFormatting>
  <conditionalFormatting sqref="JY116">
    <cfRule type="expression" dxfId="311" priority="178">
      <formula>KB111&gt;1</formula>
    </cfRule>
  </conditionalFormatting>
  <conditionalFormatting sqref="JY117">
    <cfRule type="expression" dxfId="310" priority="177">
      <formula>KB112&gt;1</formula>
    </cfRule>
  </conditionalFormatting>
  <conditionalFormatting sqref="JY118">
    <cfRule type="expression" dxfId="309" priority="176">
      <formula>KB113&gt;1</formula>
    </cfRule>
  </conditionalFormatting>
  <conditionalFormatting sqref="JY119">
    <cfRule type="expression" dxfId="308" priority="175">
      <formula>KB114&gt;1</formula>
    </cfRule>
  </conditionalFormatting>
  <conditionalFormatting sqref="JW117">
    <cfRule type="expression" dxfId="307" priority="174">
      <formula>KB117&gt;1</formula>
    </cfRule>
  </conditionalFormatting>
  <conditionalFormatting sqref="JW118">
    <cfRule type="expression" dxfId="306" priority="173">
      <formula>KB118&gt;1</formula>
    </cfRule>
  </conditionalFormatting>
  <conditionalFormatting sqref="JW119">
    <cfRule type="expression" dxfId="305" priority="172">
      <formula>KB119&gt;1</formula>
    </cfRule>
  </conditionalFormatting>
  <conditionalFormatting sqref="JW121">
    <cfRule type="expression" dxfId="304" priority="171">
      <formula>KB121&gt;1</formula>
    </cfRule>
  </conditionalFormatting>
  <conditionalFormatting sqref="JW122">
    <cfRule type="expression" dxfId="303" priority="170">
      <formula>KB122&gt;1</formula>
    </cfRule>
  </conditionalFormatting>
  <conditionalFormatting sqref="JY121">
    <cfRule type="expression" dxfId="302" priority="169">
      <formula>KB109&gt;1</formula>
    </cfRule>
  </conditionalFormatting>
  <conditionalFormatting sqref="JY122">
    <cfRule type="expression" dxfId="301" priority="168">
      <formula>KB110&gt;1</formula>
    </cfRule>
  </conditionalFormatting>
  <conditionalFormatting sqref="JW124">
    <cfRule type="expression" dxfId="300" priority="167">
      <formula>KC124&gt;1</formula>
    </cfRule>
  </conditionalFormatting>
  <conditionalFormatting sqref="JY124">
    <cfRule type="expression" dxfId="299" priority="166">
      <formula>KB107&gt;1</formula>
    </cfRule>
  </conditionalFormatting>
  <conditionalFormatting sqref="JW126">
    <cfRule type="expression" dxfId="298" priority="165">
      <formula>KC126&gt;1</formula>
    </cfRule>
  </conditionalFormatting>
  <conditionalFormatting sqref="JY126">
    <cfRule type="expression" dxfId="297" priority="164">
      <formula>KB108&gt;1</formula>
    </cfRule>
  </conditionalFormatting>
  <conditionalFormatting sqref="JW107">
    <cfRule type="expression" dxfId="296" priority="163">
      <formula>$O$90&gt;1</formula>
    </cfRule>
  </conditionalFormatting>
  <conditionalFormatting sqref="JY107">
    <cfRule type="expression" dxfId="295" priority="162">
      <formula>$O$91&gt;1</formula>
    </cfRule>
  </conditionalFormatting>
  <conditionalFormatting sqref="JW108">
    <cfRule type="expression" dxfId="294" priority="161">
      <formula>$O$92&gt;1</formula>
    </cfRule>
  </conditionalFormatting>
  <conditionalFormatting sqref="JW109">
    <cfRule type="expression" dxfId="293" priority="160">
      <formula>$O$94&gt;1</formula>
    </cfRule>
  </conditionalFormatting>
  <conditionalFormatting sqref="JW110">
    <cfRule type="expression" dxfId="292" priority="159">
      <formula>$O$96&gt;1</formula>
    </cfRule>
  </conditionalFormatting>
  <conditionalFormatting sqref="JW111">
    <cfRule type="expression" dxfId="291" priority="158">
      <formula>$O$98&gt;1</formula>
    </cfRule>
  </conditionalFormatting>
  <conditionalFormatting sqref="JW112">
    <cfRule type="expression" dxfId="290" priority="157">
      <formula>$O$100&gt;1</formula>
    </cfRule>
  </conditionalFormatting>
  <conditionalFormatting sqref="JW113">
    <cfRule type="expression" dxfId="289" priority="156">
      <formula>$O$102&gt;1</formula>
    </cfRule>
  </conditionalFormatting>
  <conditionalFormatting sqref="JW114">
    <cfRule type="expression" dxfId="288" priority="155">
      <formula>$O$104&gt;1</formula>
    </cfRule>
  </conditionalFormatting>
  <conditionalFormatting sqref="JY108">
    <cfRule type="expression" dxfId="287" priority="154">
      <formula>$O$93&gt;1</formula>
    </cfRule>
  </conditionalFormatting>
  <conditionalFormatting sqref="JY109">
    <cfRule type="expression" dxfId="286" priority="153">
      <formula>$O$95&gt;1</formula>
    </cfRule>
  </conditionalFormatting>
  <conditionalFormatting sqref="JY110">
    <cfRule type="expression" dxfId="285" priority="152">
      <formula>$O$97&gt;1</formula>
    </cfRule>
  </conditionalFormatting>
  <conditionalFormatting sqref="JY111">
    <cfRule type="expression" dxfId="284" priority="151">
      <formula>$O$99&gt;1</formula>
    </cfRule>
  </conditionalFormatting>
  <conditionalFormatting sqref="JY112">
    <cfRule type="expression" dxfId="283" priority="150">
      <formula>$O$101&gt;1</formula>
    </cfRule>
  </conditionalFormatting>
  <conditionalFormatting sqref="JY113">
    <cfRule type="expression" dxfId="282" priority="149">
      <formula>$O$103&gt;1</formula>
    </cfRule>
  </conditionalFormatting>
  <conditionalFormatting sqref="JY114">
    <cfRule type="expression" dxfId="281" priority="148">
      <formula>$O$105&gt;1</formula>
    </cfRule>
  </conditionalFormatting>
  <conditionalFormatting sqref="KJ116">
    <cfRule type="expression" dxfId="280" priority="143">
      <formula>KO116&gt;1</formula>
    </cfRule>
  </conditionalFormatting>
  <conditionalFormatting sqref="KL116">
    <cfRule type="expression" dxfId="279" priority="142">
      <formula>KO111&gt;1</formula>
    </cfRule>
  </conditionalFormatting>
  <conditionalFormatting sqref="KL117">
    <cfRule type="expression" dxfId="278" priority="141">
      <formula>KO112&gt;1</formula>
    </cfRule>
  </conditionalFormatting>
  <conditionalFormatting sqref="KL118">
    <cfRule type="expression" dxfId="277" priority="140">
      <formula>KO113&gt;1</formula>
    </cfRule>
  </conditionalFormatting>
  <conditionalFormatting sqref="KL119">
    <cfRule type="expression" dxfId="276" priority="139">
      <formula>KO114&gt;1</formula>
    </cfRule>
  </conditionalFormatting>
  <conditionalFormatting sqref="KJ117">
    <cfRule type="expression" dxfId="275" priority="138">
      <formula>KO117&gt;1</formula>
    </cfRule>
  </conditionalFormatting>
  <conditionalFormatting sqref="KJ118">
    <cfRule type="expression" dxfId="274" priority="137">
      <formula>KO118&gt;1</formula>
    </cfRule>
  </conditionalFormatting>
  <conditionalFormatting sqref="KJ119">
    <cfRule type="expression" dxfId="273" priority="136">
      <formula>KO119&gt;1</formula>
    </cfRule>
  </conditionalFormatting>
  <conditionalFormatting sqref="KJ121">
    <cfRule type="expression" dxfId="272" priority="135">
      <formula>KO121&gt;1</formula>
    </cfRule>
  </conditionalFormatting>
  <conditionalFormatting sqref="KJ122">
    <cfRule type="expression" dxfId="271" priority="134">
      <formula>KO122&gt;1</formula>
    </cfRule>
  </conditionalFormatting>
  <conditionalFormatting sqref="KL121">
    <cfRule type="expression" dxfId="270" priority="133">
      <formula>KO109&gt;1</formula>
    </cfRule>
  </conditionalFormatting>
  <conditionalFormatting sqref="KL122">
    <cfRule type="expression" dxfId="269" priority="132">
      <formula>KO110&gt;1</formula>
    </cfRule>
  </conditionalFormatting>
  <conditionalFormatting sqref="KJ124">
    <cfRule type="expression" dxfId="268" priority="131">
      <formula>KP124&gt;1</formula>
    </cfRule>
  </conditionalFormatting>
  <conditionalFormatting sqref="KL124">
    <cfRule type="expression" dxfId="267" priority="130">
      <formula>KO107&gt;1</formula>
    </cfRule>
  </conditionalFormatting>
  <conditionalFormatting sqref="KJ126">
    <cfRule type="expression" dxfId="266" priority="129">
      <formula>KP126&gt;1</formula>
    </cfRule>
  </conditionalFormatting>
  <conditionalFormatting sqref="KL126">
    <cfRule type="expression" dxfId="265" priority="128">
      <formula>KO108&gt;1</formula>
    </cfRule>
  </conditionalFormatting>
  <conditionalFormatting sqref="KJ107">
    <cfRule type="expression" dxfId="264" priority="127">
      <formula>$O$90&gt;1</formula>
    </cfRule>
  </conditionalFormatting>
  <conditionalFormatting sqref="KL107">
    <cfRule type="expression" dxfId="263" priority="126">
      <formula>$O$91&gt;1</formula>
    </cfRule>
  </conditionalFormatting>
  <conditionalFormatting sqref="KJ108">
    <cfRule type="expression" dxfId="262" priority="125">
      <formula>$O$92&gt;1</formula>
    </cfRule>
  </conditionalFormatting>
  <conditionalFormatting sqref="KJ109">
    <cfRule type="expression" dxfId="261" priority="124">
      <formula>$O$94&gt;1</formula>
    </cfRule>
  </conditionalFormatting>
  <conditionalFormatting sqref="KJ110">
    <cfRule type="expression" dxfId="260" priority="123">
      <formula>$O$96&gt;1</formula>
    </cfRule>
  </conditionalFormatting>
  <conditionalFormatting sqref="KJ111">
    <cfRule type="expression" dxfId="259" priority="122">
      <formula>$O$98&gt;1</formula>
    </cfRule>
  </conditionalFormatting>
  <conditionalFormatting sqref="KJ112">
    <cfRule type="expression" dxfId="258" priority="121">
      <formula>$O$100&gt;1</formula>
    </cfRule>
  </conditionalFormatting>
  <conditionalFormatting sqref="KJ113">
    <cfRule type="expression" dxfId="257" priority="120">
      <formula>$O$102&gt;1</formula>
    </cfRule>
  </conditionalFormatting>
  <conditionalFormatting sqref="KJ114">
    <cfRule type="expression" dxfId="256" priority="119">
      <formula>$O$104&gt;1</formula>
    </cfRule>
  </conditionalFormatting>
  <conditionalFormatting sqref="KL108">
    <cfRule type="expression" dxfId="255" priority="118">
      <formula>$O$93&gt;1</formula>
    </cfRule>
  </conditionalFormatting>
  <conditionalFormatting sqref="KL109">
    <cfRule type="expression" dxfId="254" priority="117">
      <formula>$O$95&gt;1</formula>
    </cfRule>
  </conditionalFormatting>
  <conditionalFormatting sqref="KL110">
    <cfRule type="expression" dxfId="253" priority="116">
      <formula>$O$97&gt;1</formula>
    </cfRule>
  </conditionalFormatting>
  <conditionalFormatting sqref="KL111">
    <cfRule type="expression" dxfId="252" priority="115">
      <formula>$O$99&gt;1</formula>
    </cfRule>
  </conditionalFormatting>
  <conditionalFormatting sqref="KL112">
    <cfRule type="expression" dxfId="251" priority="114">
      <formula>$O$101&gt;1</formula>
    </cfRule>
  </conditionalFormatting>
  <conditionalFormatting sqref="KL113">
    <cfRule type="expression" dxfId="250" priority="113">
      <formula>$O$103&gt;1</formula>
    </cfRule>
  </conditionalFormatting>
  <conditionalFormatting sqref="KL114">
    <cfRule type="expression" dxfId="249" priority="112">
      <formula>$O$105&gt;1</formula>
    </cfRule>
  </conditionalFormatting>
  <conditionalFormatting sqref="KW116">
    <cfRule type="expression" dxfId="248" priority="107">
      <formula>LB116&gt;1</formula>
    </cfRule>
  </conditionalFormatting>
  <conditionalFormatting sqref="KY116">
    <cfRule type="expression" dxfId="247" priority="106">
      <formula>LB111&gt;1</formula>
    </cfRule>
  </conditionalFormatting>
  <conditionalFormatting sqref="KY117">
    <cfRule type="expression" dxfId="246" priority="105">
      <formula>LB112&gt;1</formula>
    </cfRule>
  </conditionalFormatting>
  <conditionalFormatting sqref="KY118">
    <cfRule type="expression" dxfId="245" priority="104">
      <formula>LB113&gt;1</formula>
    </cfRule>
  </conditionalFormatting>
  <conditionalFormatting sqref="KY119">
    <cfRule type="expression" dxfId="244" priority="103">
      <formula>LB114&gt;1</formula>
    </cfRule>
  </conditionalFormatting>
  <conditionalFormatting sqref="KW117">
    <cfRule type="expression" dxfId="243" priority="102">
      <formula>LB117&gt;1</formula>
    </cfRule>
  </conditionalFormatting>
  <conditionalFormatting sqref="KW118">
    <cfRule type="expression" dxfId="242" priority="101">
      <formula>LB118&gt;1</formula>
    </cfRule>
  </conditionalFormatting>
  <conditionalFormatting sqref="KW119">
    <cfRule type="expression" dxfId="241" priority="100">
      <formula>LB119&gt;1</formula>
    </cfRule>
  </conditionalFormatting>
  <conditionalFormatting sqref="KW121">
    <cfRule type="expression" dxfId="240" priority="99">
      <formula>LB121&gt;1</formula>
    </cfRule>
  </conditionalFormatting>
  <conditionalFormatting sqref="KW122">
    <cfRule type="expression" dxfId="239" priority="98">
      <formula>LB122&gt;1</formula>
    </cfRule>
  </conditionalFormatting>
  <conditionalFormatting sqref="KY121">
    <cfRule type="expression" dxfId="238" priority="97">
      <formula>LB109&gt;1</formula>
    </cfRule>
  </conditionalFormatting>
  <conditionalFormatting sqref="KY122">
    <cfRule type="expression" dxfId="237" priority="96">
      <formula>LB110&gt;1</formula>
    </cfRule>
  </conditionalFormatting>
  <conditionalFormatting sqref="KW124">
    <cfRule type="expression" dxfId="236" priority="95">
      <formula>LC124&gt;1</formula>
    </cfRule>
  </conditionalFormatting>
  <conditionalFormatting sqref="KY124">
    <cfRule type="expression" dxfId="235" priority="94">
      <formula>LB107&gt;1</formula>
    </cfRule>
  </conditionalFormatting>
  <conditionalFormatting sqref="KW126">
    <cfRule type="expression" dxfId="234" priority="93">
      <formula>LC126&gt;1</formula>
    </cfRule>
  </conditionalFormatting>
  <conditionalFormatting sqref="KY126">
    <cfRule type="expression" dxfId="233" priority="92">
      <formula>LB108&gt;1</formula>
    </cfRule>
  </conditionalFormatting>
  <conditionalFormatting sqref="KW107">
    <cfRule type="expression" dxfId="232" priority="91">
      <formula>$O$90&gt;1</formula>
    </cfRule>
  </conditionalFormatting>
  <conditionalFormatting sqref="KY107">
    <cfRule type="expression" dxfId="231" priority="90">
      <formula>$O$91&gt;1</formula>
    </cfRule>
  </conditionalFormatting>
  <conditionalFormatting sqref="KW108">
    <cfRule type="expression" dxfId="230" priority="89">
      <formula>$O$92&gt;1</formula>
    </cfRule>
  </conditionalFormatting>
  <conditionalFormatting sqref="KW109">
    <cfRule type="expression" dxfId="229" priority="88">
      <formula>$O$94&gt;1</formula>
    </cfRule>
  </conditionalFormatting>
  <conditionalFormatting sqref="KW110">
    <cfRule type="expression" dxfId="228" priority="87">
      <formula>$O$96&gt;1</formula>
    </cfRule>
  </conditionalFormatting>
  <conditionalFormatting sqref="KW111">
    <cfRule type="expression" dxfId="227" priority="86">
      <formula>$O$98&gt;1</formula>
    </cfRule>
  </conditionalFormatting>
  <conditionalFormatting sqref="KW112">
    <cfRule type="expression" dxfId="226" priority="85">
      <formula>$O$100&gt;1</formula>
    </cfRule>
  </conditionalFormatting>
  <conditionalFormatting sqref="KW113">
    <cfRule type="expression" dxfId="225" priority="84">
      <formula>$O$102&gt;1</formula>
    </cfRule>
  </conditionalFormatting>
  <conditionalFormatting sqref="KW114">
    <cfRule type="expression" dxfId="224" priority="83">
      <formula>$O$104&gt;1</formula>
    </cfRule>
  </conditionalFormatting>
  <conditionalFormatting sqref="KY108">
    <cfRule type="expression" dxfId="223" priority="82">
      <formula>$O$93&gt;1</formula>
    </cfRule>
  </conditionalFormatting>
  <conditionalFormatting sqref="KY109">
    <cfRule type="expression" dxfId="222" priority="81">
      <formula>$O$95&gt;1</formula>
    </cfRule>
  </conditionalFormatting>
  <conditionalFormatting sqref="KY110">
    <cfRule type="expression" dxfId="221" priority="80">
      <formula>$O$97&gt;1</formula>
    </cfRule>
  </conditionalFormatting>
  <conditionalFormatting sqref="KY111">
    <cfRule type="expression" dxfId="220" priority="79">
      <formula>$O$99&gt;1</formula>
    </cfRule>
  </conditionalFormatting>
  <conditionalFormatting sqref="KY112">
    <cfRule type="expression" dxfId="219" priority="78">
      <formula>$O$101&gt;1</formula>
    </cfRule>
  </conditionalFormatting>
  <conditionalFormatting sqref="KY113">
    <cfRule type="expression" dxfId="218" priority="77">
      <formula>$O$103&gt;1</formula>
    </cfRule>
  </conditionalFormatting>
  <conditionalFormatting sqref="KY114">
    <cfRule type="expression" dxfId="217" priority="76">
      <formula>$O$105&gt;1</formula>
    </cfRule>
  </conditionalFormatting>
  <conditionalFormatting sqref="LJ116">
    <cfRule type="expression" dxfId="216" priority="71">
      <formula>LO116&gt;1</formula>
    </cfRule>
  </conditionalFormatting>
  <conditionalFormatting sqref="LL116">
    <cfRule type="expression" dxfId="215" priority="70">
      <formula>LO111&gt;1</formula>
    </cfRule>
  </conditionalFormatting>
  <conditionalFormatting sqref="LL117">
    <cfRule type="expression" dxfId="214" priority="69">
      <formula>LO112&gt;1</formula>
    </cfRule>
  </conditionalFormatting>
  <conditionalFormatting sqref="LL118">
    <cfRule type="expression" dxfId="213" priority="68">
      <formula>LO113&gt;1</formula>
    </cfRule>
  </conditionalFormatting>
  <conditionalFormatting sqref="LL119">
    <cfRule type="expression" dxfId="212" priority="67">
      <formula>LO114&gt;1</formula>
    </cfRule>
  </conditionalFormatting>
  <conditionalFormatting sqref="LJ117">
    <cfRule type="expression" dxfId="211" priority="66">
      <formula>LO117&gt;1</formula>
    </cfRule>
  </conditionalFormatting>
  <conditionalFormatting sqref="LJ118">
    <cfRule type="expression" dxfId="210" priority="65">
      <formula>LO118&gt;1</formula>
    </cfRule>
  </conditionalFormatting>
  <conditionalFormatting sqref="LJ119">
    <cfRule type="expression" dxfId="209" priority="64">
      <formula>LO119&gt;1</formula>
    </cfRule>
  </conditionalFormatting>
  <conditionalFormatting sqref="LJ121">
    <cfRule type="expression" dxfId="208" priority="63">
      <formula>LO121&gt;1</formula>
    </cfRule>
  </conditionalFormatting>
  <conditionalFormatting sqref="LJ122">
    <cfRule type="expression" dxfId="207" priority="62">
      <formula>LO122&gt;1</formula>
    </cfRule>
  </conditionalFormatting>
  <conditionalFormatting sqref="LL121">
    <cfRule type="expression" dxfId="206" priority="61">
      <formula>LO109&gt;1</formula>
    </cfRule>
  </conditionalFormatting>
  <conditionalFormatting sqref="LL122">
    <cfRule type="expression" dxfId="205" priority="60">
      <formula>LO110&gt;1</formula>
    </cfRule>
  </conditionalFormatting>
  <conditionalFormatting sqref="LJ124">
    <cfRule type="expression" dxfId="204" priority="59">
      <formula>LP124&gt;1</formula>
    </cfRule>
  </conditionalFormatting>
  <conditionalFormatting sqref="LL124">
    <cfRule type="expression" dxfId="203" priority="58">
      <formula>LO107&gt;1</formula>
    </cfRule>
  </conditionalFormatting>
  <conditionalFormatting sqref="LJ126">
    <cfRule type="expression" dxfId="202" priority="57">
      <formula>LP126&gt;1</formula>
    </cfRule>
  </conditionalFormatting>
  <conditionalFormatting sqref="LL126">
    <cfRule type="expression" dxfId="201" priority="56">
      <formula>LO108&gt;1</formula>
    </cfRule>
  </conditionalFormatting>
  <conditionalFormatting sqref="LJ107">
    <cfRule type="expression" dxfId="200" priority="55">
      <formula>$O$90&gt;1</formula>
    </cfRule>
  </conditionalFormatting>
  <conditionalFormatting sqref="LL107">
    <cfRule type="expression" dxfId="199" priority="54">
      <formula>$O$91&gt;1</formula>
    </cfRule>
  </conditionalFormatting>
  <conditionalFormatting sqref="LJ108">
    <cfRule type="expression" dxfId="198" priority="53">
      <formula>$O$92&gt;1</formula>
    </cfRule>
  </conditionalFormatting>
  <conditionalFormatting sqref="LJ109">
    <cfRule type="expression" dxfId="197" priority="52">
      <formula>$O$94&gt;1</formula>
    </cfRule>
  </conditionalFormatting>
  <conditionalFormatting sqref="LJ110">
    <cfRule type="expression" dxfId="196" priority="51">
      <formula>$O$96&gt;1</formula>
    </cfRule>
  </conditionalFormatting>
  <conditionalFormatting sqref="LJ111">
    <cfRule type="expression" dxfId="195" priority="50">
      <formula>$O$98&gt;1</formula>
    </cfRule>
  </conditionalFormatting>
  <conditionalFormatting sqref="LJ112">
    <cfRule type="expression" dxfId="194" priority="49">
      <formula>$O$100&gt;1</formula>
    </cfRule>
  </conditionalFormatting>
  <conditionalFormatting sqref="LJ113">
    <cfRule type="expression" dxfId="193" priority="48">
      <formula>$O$102&gt;1</formula>
    </cfRule>
  </conditionalFormatting>
  <conditionalFormatting sqref="LJ114">
    <cfRule type="expression" dxfId="192" priority="47">
      <formula>$O$104&gt;1</formula>
    </cfRule>
  </conditionalFormatting>
  <conditionalFormatting sqref="LL108">
    <cfRule type="expression" dxfId="191" priority="46">
      <formula>$O$93&gt;1</formula>
    </cfRule>
  </conditionalFormatting>
  <conditionalFormatting sqref="LL109">
    <cfRule type="expression" dxfId="190" priority="45">
      <formula>$O$95&gt;1</formula>
    </cfRule>
  </conditionalFormatting>
  <conditionalFormatting sqref="LL110">
    <cfRule type="expression" dxfId="189" priority="44">
      <formula>$O$97&gt;1</formula>
    </cfRule>
  </conditionalFormatting>
  <conditionalFormatting sqref="LL111">
    <cfRule type="expression" dxfId="188" priority="43">
      <formula>$O$99&gt;1</formula>
    </cfRule>
  </conditionalFormatting>
  <conditionalFormatting sqref="LL112">
    <cfRule type="expression" dxfId="187" priority="42">
      <formula>$O$101&gt;1</formula>
    </cfRule>
  </conditionalFormatting>
  <conditionalFormatting sqref="LL113">
    <cfRule type="expression" dxfId="186" priority="41">
      <formula>$O$103&gt;1</formula>
    </cfRule>
  </conditionalFormatting>
  <conditionalFormatting sqref="LL114">
    <cfRule type="expression" dxfId="185" priority="40">
      <formula>$O$105&gt;1</formula>
    </cfRule>
  </conditionalFormatting>
  <conditionalFormatting sqref="LW116">
    <cfRule type="expression" dxfId="184" priority="35">
      <formula>MB116&gt;1</formula>
    </cfRule>
  </conditionalFormatting>
  <conditionalFormatting sqref="LY116">
    <cfRule type="expression" dxfId="183" priority="34">
      <formula>MB111&gt;1</formula>
    </cfRule>
  </conditionalFormatting>
  <conditionalFormatting sqref="LY117">
    <cfRule type="expression" dxfId="182" priority="33">
      <formula>MB112&gt;1</formula>
    </cfRule>
  </conditionalFormatting>
  <conditionalFormatting sqref="LY118">
    <cfRule type="expression" dxfId="181" priority="32">
      <formula>MB113&gt;1</formula>
    </cfRule>
  </conditionalFormatting>
  <conditionalFormatting sqref="LY119">
    <cfRule type="expression" dxfId="180" priority="31">
      <formula>MB114&gt;1</formula>
    </cfRule>
  </conditionalFormatting>
  <conditionalFormatting sqref="LW117">
    <cfRule type="expression" dxfId="179" priority="30">
      <formula>MB117&gt;1</formula>
    </cfRule>
  </conditionalFormatting>
  <conditionalFormatting sqref="LW118">
    <cfRule type="expression" dxfId="178" priority="29">
      <formula>MB118&gt;1</formula>
    </cfRule>
  </conditionalFormatting>
  <conditionalFormatting sqref="LW119">
    <cfRule type="expression" dxfId="177" priority="28">
      <formula>MB119&gt;1</formula>
    </cfRule>
  </conditionalFormatting>
  <conditionalFormatting sqref="LW121">
    <cfRule type="expression" dxfId="176" priority="27">
      <formula>MB121&gt;1</formula>
    </cfRule>
  </conditionalFormatting>
  <conditionalFormatting sqref="LW122">
    <cfRule type="expression" dxfId="175" priority="26">
      <formula>MB122&gt;1</formula>
    </cfRule>
  </conditionalFormatting>
  <conditionalFormatting sqref="LY121">
    <cfRule type="expression" dxfId="174" priority="25">
      <formula>MB109&gt;1</formula>
    </cfRule>
  </conditionalFormatting>
  <conditionalFormatting sqref="LY122">
    <cfRule type="expression" dxfId="173" priority="24">
      <formula>MB110&gt;1</formula>
    </cfRule>
  </conditionalFormatting>
  <conditionalFormatting sqref="LW124">
    <cfRule type="expression" dxfId="172" priority="23">
      <formula>MC124&gt;1</formula>
    </cfRule>
  </conditionalFormatting>
  <conditionalFormatting sqref="LY124">
    <cfRule type="expression" dxfId="171" priority="22">
      <formula>MB107&gt;1</formula>
    </cfRule>
  </conditionalFormatting>
  <conditionalFormatting sqref="LW126">
    <cfRule type="expression" dxfId="170" priority="21">
      <formula>MC126&gt;1</formula>
    </cfRule>
  </conditionalFormatting>
  <conditionalFormatting sqref="LY126">
    <cfRule type="expression" dxfId="169" priority="20">
      <formula>MB108&gt;1</formula>
    </cfRule>
  </conditionalFormatting>
  <conditionalFormatting sqref="LW107">
    <cfRule type="expression" dxfId="168" priority="19">
      <formula>$O$90&gt;1</formula>
    </cfRule>
  </conditionalFormatting>
  <conditionalFormatting sqref="LY107">
    <cfRule type="expression" dxfId="167" priority="18">
      <formula>$O$91&gt;1</formula>
    </cfRule>
  </conditionalFormatting>
  <conditionalFormatting sqref="LW108">
    <cfRule type="expression" dxfId="166" priority="17">
      <formula>$O$92&gt;1</formula>
    </cfRule>
  </conditionalFormatting>
  <conditionalFormatting sqref="LW109">
    <cfRule type="expression" dxfId="165" priority="16">
      <formula>$O$94&gt;1</formula>
    </cfRule>
  </conditionalFormatting>
  <conditionalFormatting sqref="LW110">
    <cfRule type="expression" dxfId="164" priority="15">
      <formula>$O$96&gt;1</formula>
    </cfRule>
  </conditionalFormatting>
  <conditionalFormatting sqref="LW111">
    <cfRule type="expression" dxfId="163" priority="14">
      <formula>$O$98&gt;1</formula>
    </cfRule>
  </conditionalFormatting>
  <conditionalFormatting sqref="LW112">
    <cfRule type="expression" dxfId="162" priority="13">
      <formula>$O$100&gt;1</formula>
    </cfRule>
  </conditionalFormatting>
  <conditionalFormatting sqref="LW113">
    <cfRule type="expression" dxfId="161" priority="12">
      <formula>$O$102&gt;1</formula>
    </cfRule>
  </conditionalFormatting>
  <conditionalFormatting sqref="LW114">
    <cfRule type="expression" dxfId="160" priority="11">
      <formula>$O$104&gt;1</formula>
    </cfRule>
  </conditionalFormatting>
  <conditionalFormatting sqref="LY108">
    <cfRule type="expression" dxfId="159" priority="10">
      <formula>$O$93&gt;1</formula>
    </cfRule>
  </conditionalFormatting>
  <conditionalFormatting sqref="LY109">
    <cfRule type="expression" dxfId="158" priority="9">
      <formula>$O$95&gt;1</formula>
    </cfRule>
  </conditionalFormatting>
  <conditionalFormatting sqref="LY110">
    <cfRule type="expression" dxfId="157" priority="8">
      <formula>$O$97&gt;1</formula>
    </cfRule>
  </conditionalFormatting>
  <conditionalFormatting sqref="LY111">
    <cfRule type="expression" dxfId="156" priority="7">
      <formula>$O$99&gt;1</formula>
    </cfRule>
  </conditionalFormatting>
  <conditionalFormatting sqref="LY112">
    <cfRule type="expression" dxfId="155" priority="6">
      <formula>$O$101&gt;1</formula>
    </cfRule>
  </conditionalFormatting>
  <conditionalFormatting sqref="LY113">
    <cfRule type="expression" dxfId="154" priority="5">
      <formula>$O$103&gt;1</formula>
    </cfRule>
  </conditionalFormatting>
  <conditionalFormatting sqref="LY114">
    <cfRule type="expression" dxfId="15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31</vt:i4>
      </vt:variant>
      <vt:variant>
        <vt:lpstr>Benoemde bereiken</vt:lpstr>
      </vt:variant>
      <vt:variant>
        <vt:i4>1</vt:i4>
      </vt:variant>
    </vt:vector>
  </HeadingPairs>
  <TitlesOfParts>
    <vt:vector size="32" baseType="lpstr">
      <vt:lpstr>Informatieblad</vt:lpstr>
      <vt:lpstr>NKC - WKpool 2026</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Ab Feith</cp:lastModifiedBy>
  <cp:lastPrinted>2026-05-05T11:25:30Z</cp:lastPrinted>
  <dcterms:created xsi:type="dcterms:W3CDTF">2018-06-13T10:24:55Z</dcterms:created>
  <dcterms:modified xsi:type="dcterms:W3CDTF">2026-05-05T11:25:40Z</dcterms:modified>
</cp:coreProperties>
</file>